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11268" tabRatio="837"/>
  </bookViews>
  <sheets>
    <sheet name="Приложение 1" sheetId="1" r:id="rId1"/>
    <sheet name="Приложение 2" sheetId="2" r:id="rId2"/>
    <sheet name="Приложение 3" sheetId="6" r:id="rId3"/>
  </sheets>
  <definedNames>
    <definedName name="_xlnm._FilterDatabase" localSheetId="0" hidden="1">'Приложение 1'!$A$2:$M$2</definedName>
    <definedName name="_xlnm._FilterDatabase" localSheetId="1" hidden="1">'Приложение 2'!$A$2:$M$318</definedName>
    <definedName name="_xlnm.Print_Titles" localSheetId="0">'Приложение 1'!$4:$5</definedName>
    <definedName name="_xlnm.Print_Titles" localSheetId="1">'Приложение 2'!$4:$5</definedName>
    <definedName name="_xlnm.Print_Titles" localSheetId="2">'Приложение 3'!$4:$5</definedName>
    <definedName name="_xlnm.Print_Area" localSheetId="0">'Приложение 1'!$A$1:$P$235</definedName>
    <definedName name="_xlnm.Print_Area" localSheetId="1">'Приложение 2'!$A$1:$P$326</definedName>
    <definedName name="_xlnm.Print_Area" localSheetId="2">'Приложение 3'!$A$1:$P$254</definedName>
  </definedNames>
  <calcPr calcId="162913"/>
</workbook>
</file>

<file path=xl/calcChain.xml><?xml version="1.0" encoding="utf-8"?>
<calcChain xmlns="http://schemas.openxmlformats.org/spreadsheetml/2006/main">
  <c r="N224" i="1" l="1"/>
  <c r="O224" i="1"/>
  <c r="O223" i="2" l="1"/>
  <c r="N223" i="2"/>
  <c r="O222" i="2"/>
  <c r="N222" i="2"/>
  <c r="O211" i="2"/>
  <c r="N211" i="2"/>
  <c r="O210" i="2"/>
  <c r="N210" i="2"/>
  <c r="N161" i="2"/>
  <c r="O104" i="2"/>
  <c r="N104" i="2"/>
  <c r="O50" i="1" l="1"/>
  <c r="N50" i="1"/>
  <c r="P15" i="6" l="1"/>
  <c r="P16" i="6"/>
  <c r="P17" i="6"/>
  <c r="N14" i="6"/>
  <c r="N13" i="6" s="1"/>
  <c r="N12" i="6" s="1"/>
  <c r="N11" i="6" s="1"/>
  <c r="N10" i="6" s="1"/>
  <c r="N9" i="6" s="1"/>
  <c r="N8" i="6" s="1"/>
  <c r="N7" i="6" s="1"/>
  <c r="O14" i="6"/>
  <c r="O13" i="6" s="1"/>
  <c r="O12" i="6" s="1"/>
  <c r="O11" i="6" s="1"/>
  <c r="O10" i="6" s="1"/>
  <c r="O9" i="6" s="1"/>
  <c r="O8" i="6" s="1"/>
  <c r="O7" i="6" s="1"/>
  <c r="O26" i="6"/>
  <c r="N37" i="6"/>
  <c r="N43" i="6"/>
  <c r="O48" i="6"/>
  <c r="N48" i="6"/>
  <c r="O50" i="6"/>
  <c r="N50" i="6"/>
  <c r="O52" i="6"/>
  <c r="N57" i="6"/>
  <c r="N71" i="6"/>
  <c r="N83" i="6"/>
  <c r="O104" i="6"/>
  <c r="N108" i="6"/>
  <c r="O108" i="6"/>
  <c r="N111" i="6"/>
  <c r="O111" i="6"/>
  <c r="O114" i="6"/>
  <c r="O118" i="6"/>
  <c r="N151" i="6"/>
  <c r="N155" i="6"/>
  <c r="O155" i="6"/>
  <c r="N157" i="6"/>
  <c r="N165" i="6"/>
  <c r="O172" i="6"/>
  <c r="O176" i="6"/>
  <c r="O180" i="6"/>
  <c r="N193" i="6"/>
  <c r="N203" i="6"/>
  <c r="O208" i="6"/>
  <c r="N208" i="6"/>
  <c r="O210" i="6"/>
  <c r="N223" i="6"/>
  <c r="O223" i="6"/>
  <c r="O226" i="6"/>
  <c r="N226" i="6"/>
  <c r="O232" i="6"/>
  <c r="O231" i="6" s="1"/>
  <c r="O230" i="6" s="1"/>
  <c r="O229" i="6" s="1"/>
  <c r="N239" i="6"/>
  <c r="N238" i="6" s="1"/>
  <c r="N237" i="6" s="1"/>
  <c r="N236" i="6" s="1"/>
  <c r="O239" i="6" l="1"/>
  <c r="N217" i="6"/>
  <c r="N216" i="6" s="1"/>
  <c r="N215" i="6" s="1"/>
  <c r="N214" i="6" s="1"/>
  <c r="O217" i="6"/>
  <c r="N210" i="6"/>
  <c r="N202" i="6" s="1"/>
  <c r="O203" i="6"/>
  <c r="O193" i="6"/>
  <c r="O157" i="6"/>
  <c r="O151" i="6"/>
  <c r="N104" i="6"/>
  <c r="O83" i="6"/>
  <c r="O57" i="6"/>
  <c r="O37" i="6"/>
  <c r="N232" i="6"/>
  <c r="N231" i="6" s="1"/>
  <c r="N230" i="6" s="1"/>
  <c r="N229" i="6" s="1"/>
  <c r="N180" i="6"/>
  <c r="N176" i="6"/>
  <c r="N172" i="6"/>
  <c r="O165" i="6"/>
  <c r="N118" i="6"/>
  <c r="N114" i="6"/>
  <c r="O71" i="6"/>
  <c r="N52" i="6"/>
  <c r="O43" i="6"/>
  <c r="N26" i="6"/>
  <c r="P15" i="2"/>
  <c r="P17" i="2"/>
  <c r="P65" i="2"/>
  <c r="P74" i="2"/>
  <c r="P90" i="2"/>
  <c r="P92" i="2"/>
  <c r="P101" i="2"/>
  <c r="P102" i="2"/>
  <c r="P106" i="2"/>
  <c r="P111" i="2"/>
  <c r="P120" i="2"/>
  <c r="P121" i="2"/>
  <c r="P126" i="2"/>
  <c r="P129" i="2"/>
  <c r="P135" i="2"/>
  <c r="P139" i="2"/>
  <c r="P149" i="2"/>
  <c r="P151" i="2"/>
  <c r="P157" i="2"/>
  <c r="P159" i="2"/>
  <c r="P160" i="2"/>
  <c r="P162" i="2"/>
  <c r="P168" i="2"/>
  <c r="P178" i="2"/>
  <c r="P180" i="2"/>
  <c r="P189" i="2"/>
  <c r="P191" i="2"/>
  <c r="P193" i="2"/>
  <c r="P195" i="2"/>
  <c r="P197" i="2"/>
  <c r="P199" i="2"/>
  <c r="P200" i="2"/>
  <c r="P208" i="2"/>
  <c r="P213" i="2"/>
  <c r="P215" i="2"/>
  <c r="P217" i="2"/>
  <c r="P219" i="2"/>
  <c r="P220" i="2"/>
  <c r="P235" i="2"/>
  <c r="P249" i="2"/>
  <c r="P258" i="2"/>
  <c r="P259" i="2"/>
  <c r="P268" i="2"/>
  <c r="P277" i="2"/>
  <c r="P286" i="2"/>
  <c r="P287" i="2"/>
  <c r="P289" i="2"/>
  <c r="P291" i="2"/>
  <c r="P293" i="2"/>
  <c r="P297" i="2"/>
  <c r="P302" i="2"/>
  <c r="P304" i="2"/>
  <c r="P306" i="2"/>
  <c r="P308" i="2"/>
  <c r="P310" i="2"/>
  <c r="N89" i="2"/>
  <c r="O89" i="2"/>
  <c r="M89" i="2"/>
  <c r="N91" i="2"/>
  <c r="O91" i="2"/>
  <c r="M91" i="2"/>
  <c r="N138" i="2"/>
  <c r="N137" i="2" s="1"/>
  <c r="N136" i="2" s="1"/>
  <c r="O138" i="2"/>
  <c r="M138" i="2"/>
  <c r="N14" i="2"/>
  <c r="O14" i="2"/>
  <c r="N16" i="2"/>
  <c r="N13" i="2" s="1"/>
  <c r="N12" i="2" s="1"/>
  <c r="N11" i="2" s="1"/>
  <c r="N10" i="2" s="1"/>
  <c r="N9" i="2" s="1"/>
  <c r="N8" i="2" s="1"/>
  <c r="N7" i="2" s="1"/>
  <c r="O16" i="2"/>
  <c r="N25" i="2"/>
  <c r="O25" i="2"/>
  <c r="N27" i="2"/>
  <c r="O27" i="2"/>
  <c r="O34" i="2"/>
  <c r="N34" i="2"/>
  <c r="O36" i="2"/>
  <c r="N36" i="2"/>
  <c r="O38" i="2"/>
  <c r="N38" i="2"/>
  <c r="O40" i="2"/>
  <c r="N40" i="2"/>
  <c r="N49" i="2"/>
  <c r="O49" i="2"/>
  <c r="N51" i="2"/>
  <c r="O51" i="2"/>
  <c r="N53" i="2"/>
  <c r="O53" i="2"/>
  <c r="N55" i="2"/>
  <c r="O55" i="2"/>
  <c r="N57" i="2"/>
  <c r="O57" i="2"/>
  <c r="N59" i="2"/>
  <c r="O59" i="2"/>
  <c r="N61" i="2"/>
  <c r="O61" i="2"/>
  <c r="N63" i="2"/>
  <c r="O63" i="2"/>
  <c r="O66" i="2"/>
  <c r="N66" i="2"/>
  <c r="O69" i="2"/>
  <c r="N69" i="2"/>
  <c r="O71" i="2"/>
  <c r="N71" i="2"/>
  <c r="N73" i="2"/>
  <c r="O73" i="2"/>
  <c r="N75" i="2"/>
  <c r="O75" i="2"/>
  <c r="N77" i="2"/>
  <c r="O77" i="2"/>
  <c r="N79" i="2"/>
  <c r="O79" i="2"/>
  <c r="N100" i="2"/>
  <c r="O100" i="2"/>
  <c r="N103" i="2"/>
  <c r="O103" i="2"/>
  <c r="N105" i="2"/>
  <c r="O105" i="2"/>
  <c r="O110" i="2"/>
  <c r="O109" i="2" s="1"/>
  <c r="O108" i="2" s="1"/>
  <c r="O107" i="2" s="1"/>
  <c r="N110" i="2"/>
  <c r="N109" i="2" s="1"/>
  <c r="N108" i="2" s="1"/>
  <c r="N107" i="2" s="1"/>
  <c r="O119" i="2"/>
  <c r="O118" i="2" s="1"/>
  <c r="O117" i="2" s="1"/>
  <c r="N119" i="2"/>
  <c r="N118" i="2" s="1"/>
  <c r="N117" i="2" s="1"/>
  <c r="O125" i="2"/>
  <c r="N132" i="2"/>
  <c r="O132" i="2"/>
  <c r="N134" i="2"/>
  <c r="O134" i="2"/>
  <c r="N148" i="2"/>
  <c r="O148" i="2"/>
  <c r="N150" i="2"/>
  <c r="N147" i="2" s="1"/>
  <c r="N146" i="2" s="1"/>
  <c r="N145" i="2" s="1"/>
  <c r="N144" i="2" s="1"/>
  <c r="O150" i="2"/>
  <c r="N156" i="2"/>
  <c r="O156" i="2"/>
  <c r="N158" i="2"/>
  <c r="O158" i="2"/>
  <c r="O161" i="2"/>
  <c r="N167" i="2"/>
  <c r="N166" i="2" s="1"/>
  <c r="N165" i="2" s="1"/>
  <c r="N164" i="2" s="1"/>
  <c r="N163" i="2" s="1"/>
  <c r="O167" i="2"/>
  <c r="O166" i="2" s="1"/>
  <c r="N177" i="2"/>
  <c r="O177" i="2"/>
  <c r="N179" i="2"/>
  <c r="O179" i="2"/>
  <c r="O176" i="2" s="1"/>
  <c r="O175" i="2" s="1"/>
  <c r="O174" i="2" s="1"/>
  <c r="O173" i="2" s="1"/>
  <c r="O172" i="2" s="1"/>
  <c r="O171" i="2" s="1"/>
  <c r="O170" i="2" s="1"/>
  <c r="N188" i="2"/>
  <c r="O188" i="2"/>
  <c r="N190" i="2"/>
  <c r="O190" i="2"/>
  <c r="N192" i="2"/>
  <c r="O192" i="2"/>
  <c r="N194" i="2"/>
  <c r="O194" i="2"/>
  <c r="N196" i="2"/>
  <c r="O196" i="2"/>
  <c r="N198" i="2"/>
  <c r="O198" i="2"/>
  <c r="N207" i="2"/>
  <c r="O207" i="2"/>
  <c r="O209" i="2"/>
  <c r="N209" i="2"/>
  <c r="N212" i="2"/>
  <c r="O212" i="2"/>
  <c r="N214" i="2"/>
  <c r="O214" i="2"/>
  <c r="N216" i="2"/>
  <c r="O216" i="2"/>
  <c r="N218" i="2"/>
  <c r="O218" i="2"/>
  <c r="N221" i="2"/>
  <c r="O221" i="2"/>
  <c r="N230" i="2"/>
  <c r="N234" i="2"/>
  <c r="O234" i="2"/>
  <c r="O243" i="2"/>
  <c r="N243" i="2"/>
  <c r="O246" i="2"/>
  <c r="N246" i="2"/>
  <c r="N248" i="2"/>
  <c r="O248" i="2"/>
  <c r="N256" i="2"/>
  <c r="N255" i="2" s="1"/>
  <c r="N254" i="2" s="1"/>
  <c r="N253" i="2" s="1"/>
  <c r="N252" i="2" s="1"/>
  <c r="N251" i="2" s="1"/>
  <c r="N250" i="2" s="1"/>
  <c r="O256" i="2"/>
  <c r="O255" i="2" s="1"/>
  <c r="O254" i="2" s="1"/>
  <c r="O253" i="2" s="1"/>
  <c r="O252" i="2" s="1"/>
  <c r="O251" i="2" s="1"/>
  <c r="O250" i="2" s="1"/>
  <c r="N267" i="2"/>
  <c r="N266" i="2" s="1"/>
  <c r="N265" i="2" s="1"/>
  <c r="N264" i="2" s="1"/>
  <c r="N263" i="2" s="1"/>
  <c r="N262" i="2" s="1"/>
  <c r="N261" i="2" s="1"/>
  <c r="N260" i="2" s="1"/>
  <c r="O267" i="2"/>
  <c r="O266" i="2" s="1"/>
  <c r="O265" i="2" s="1"/>
  <c r="O264" i="2" s="1"/>
  <c r="O263" i="2" s="1"/>
  <c r="O262" i="2" s="1"/>
  <c r="O261" i="2" s="1"/>
  <c r="O260" i="2" s="1"/>
  <c r="N276" i="2"/>
  <c r="N275" i="2" s="1"/>
  <c r="N274" i="2" s="1"/>
  <c r="N273" i="2" s="1"/>
  <c r="N272" i="2" s="1"/>
  <c r="N271" i="2" s="1"/>
  <c r="N270" i="2" s="1"/>
  <c r="N269" i="2" s="1"/>
  <c r="O276" i="2"/>
  <c r="O275" i="2" s="1"/>
  <c r="O274" i="2" s="1"/>
  <c r="O273" i="2" s="1"/>
  <c r="O272" i="2" s="1"/>
  <c r="O271" i="2" s="1"/>
  <c r="O270" i="2" s="1"/>
  <c r="O269" i="2" s="1"/>
  <c r="N285" i="2"/>
  <c r="O285" i="2"/>
  <c r="N288" i="2"/>
  <c r="O288" i="2"/>
  <c r="N290" i="2"/>
  <c r="O290" i="2"/>
  <c r="N292" i="2"/>
  <c r="O292" i="2"/>
  <c r="O294" i="2"/>
  <c r="N294" i="2"/>
  <c r="N296" i="2"/>
  <c r="O296" i="2"/>
  <c r="N301" i="2"/>
  <c r="O301" i="2"/>
  <c r="N303" i="2"/>
  <c r="O303" i="2"/>
  <c r="N305" i="2"/>
  <c r="O305" i="2"/>
  <c r="N307" i="2"/>
  <c r="O307" i="2"/>
  <c r="N309" i="2"/>
  <c r="O309" i="2"/>
  <c r="N319" i="2"/>
  <c r="N318" i="2" s="1"/>
  <c r="N317" i="2" s="1"/>
  <c r="N316" i="2" s="1"/>
  <c r="N315" i="2" s="1"/>
  <c r="N314" i="2" s="1"/>
  <c r="N313" i="2" s="1"/>
  <c r="N312" i="2" s="1"/>
  <c r="N311" i="2" s="1"/>
  <c r="O319" i="2"/>
  <c r="O318" i="2" s="1"/>
  <c r="O317" i="2" s="1"/>
  <c r="O316" i="2" s="1"/>
  <c r="O315" i="2" s="1"/>
  <c r="O314" i="2" s="1"/>
  <c r="O313" i="2" s="1"/>
  <c r="O312" i="2" s="1"/>
  <c r="O311" i="2" s="1"/>
  <c r="P15" i="1"/>
  <c r="P24" i="1"/>
  <c r="P25" i="1"/>
  <c r="P26" i="1"/>
  <c r="P27" i="1"/>
  <c r="P29" i="1"/>
  <c r="P30" i="1"/>
  <c r="P39" i="1"/>
  <c r="P40" i="1"/>
  <c r="P41" i="1"/>
  <c r="P42" i="1"/>
  <c r="P43" i="1"/>
  <c r="P44" i="1"/>
  <c r="P45" i="1"/>
  <c r="P49" i="1"/>
  <c r="P51" i="1"/>
  <c r="P54" i="1"/>
  <c r="P62" i="1"/>
  <c r="P75" i="1"/>
  <c r="P83" i="1"/>
  <c r="P89" i="1"/>
  <c r="P95" i="1"/>
  <c r="P104" i="1"/>
  <c r="P108" i="1"/>
  <c r="P112" i="1"/>
  <c r="P139" i="1"/>
  <c r="P148" i="1"/>
  <c r="P149" i="1"/>
  <c r="P150" i="1"/>
  <c r="P151" i="1"/>
  <c r="P152" i="1"/>
  <c r="P161" i="1"/>
  <c r="P171" i="1"/>
  <c r="P172" i="1"/>
  <c r="P173" i="1"/>
  <c r="P174" i="1"/>
  <c r="P175" i="1"/>
  <c r="P176" i="1"/>
  <c r="P177" i="1"/>
  <c r="P178" i="1"/>
  <c r="P188" i="1"/>
  <c r="P195" i="1"/>
  <c r="P204" i="1"/>
  <c r="P215" i="1"/>
  <c r="P225" i="1"/>
  <c r="N88" i="2" l="1"/>
  <c r="N87" i="2" s="1"/>
  <c r="N86" i="2" s="1"/>
  <c r="N85" i="2" s="1"/>
  <c r="N84" i="2" s="1"/>
  <c r="N83" i="2" s="1"/>
  <c r="N82" i="2" s="1"/>
  <c r="O88" i="2"/>
  <c r="O137" i="2"/>
  <c r="O136" i="2" s="1"/>
  <c r="P138" i="2"/>
  <c r="O165" i="2"/>
  <c r="O164" i="2" s="1"/>
  <c r="P91" i="2"/>
  <c r="O238" i="6"/>
  <c r="O216" i="6"/>
  <c r="O202" i="6"/>
  <c r="O13" i="2"/>
  <c r="O12" i="2" s="1"/>
  <c r="O11" i="2" s="1"/>
  <c r="O10" i="2" s="1"/>
  <c r="O9" i="2" s="1"/>
  <c r="O8" i="2" s="1"/>
  <c r="O7" i="2" s="1"/>
  <c r="O147" i="2"/>
  <c r="O87" i="2"/>
  <c r="P89" i="2"/>
  <c r="N176" i="2"/>
  <c r="N175" i="2" s="1"/>
  <c r="N174" i="2" s="1"/>
  <c r="N173" i="2" s="1"/>
  <c r="N172" i="2" s="1"/>
  <c r="N171" i="2" s="1"/>
  <c r="N170" i="2" s="1"/>
  <c r="N99" i="2"/>
  <c r="N98" i="2" s="1"/>
  <c r="N97" i="2" s="1"/>
  <c r="N25" i="6"/>
  <c r="N24" i="6" s="1"/>
  <c r="N23" i="6" s="1"/>
  <c r="N22" i="6" s="1"/>
  <c r="N21" i="6" s="1"/>
  <c r="N20" i="6" s="1"/>
  <c r="N19" i="6" s="1"/>
  <c r="N18" i="6" s="1"/>
  <c r="N6" i="6" s="1"/>
  <c r="O25" i="6"/>
  <c r="O48" i="2"/>
  <c r="O99" i="2"/>
  <c r="N96" i="2"/>
  <c r="N95" i="2" s="1"/>
  <c r="N94" i="2" s="1"/>
  <c r="O124" i="2"/>
  <c r="O155" i="2"/>
  <c r="N187" i="2"/>
  <c r="N186" i="2" s="1"/>
  <c r="N185" i="2" s="1"/>
  <c r="N184" i="2" s="1"/>
  <c r="N183" i="2" s="1"/>
  <c r="N182" i="2" s="1"/>
  <c r="N206" i="2"/>
  <c r="N205" i="2" s="1"/>
  <c r="N204" i="2" s="1"/>
  <c r="N203" i="2" s="1"/>
  <c r="N202" i="2" s="1"/>
  <c r="N201" i="2" s="1"/>
  <c r="N229" i="2"/>
  <c r="N228" i="2" s="1"/>
  <c r="N227" i="2" s="1"/>
  <c r="N226" i="2" s="1"/>
  <c r="N225" i="2" s="1"/>
  <c r="N224" i="2" s="1"/>
  <c r="N242" i="2"/>
  <c r="N241" i="2" s="1"/>
  <c r="N240" i="2" s="1"/>
  <c r="N239" i="2" s="1"/>
  <c r="N238" i="2" s="1"/>
  <c r="N237" i="2" s="1"/>
  <c r="N236" i="2" s="1"/>
  <c r="O242" i="2"/>
  <c r="N284" i="2"/>
  <c r="N283" i="2" s="1"/>
  <c r="N282" i="2" s="1"/>
  <c r="N300" i="2"/>
  <c r="N299" i="2" s="1"/>
  <c r="N298" i="2" s="1"/>
  <c r="O300" i="2"/>
  <c r="O284" i="2"/>
  <c r="O230" i="2"/>
  <c r="O187" i="2"/>
  <c r="N155" i="2"/>
  <c r="N154" i="2" s="1"/>
  <c r="N153" i="2" s="1"/>
  <c r="N152" i="2" s="1"/>
  <c r="N143" i="2" s="1"/>
  <c r="N142" i="2" s="1"/>
  <c r="N141" i="2" s="1"/>
  <c r="N140" i="2" s="1"/>
  <c r="N125" i="2"/>
  <c r="N124" i="2" s="1"/>
  <c r="N123" i="2" s="1"/>
  <c r="N116" i="2" s="1"/>
  <c r="N115" i="2" s="1"/>
  <c r="N114" i="2" s="1"/>
  <c r="N113" i="2" s="1"/>
  <c r="N29" i="2"/>
  <c r="O29" i="2"/>
  <c r="O206" i="2"/>
  <c r="N48" i="2"/>
  <c r="N47" i="2" s="1"/>
  <c r="N46" i="2" s="1"/>
  <c r="N45" i="2" s="1"/>
  <c r="N44" i="2" s="1"/>
  <c r="N43" i="2" s="1"/>
  <c r="N42" i="2" s="1"/>
  <c r="N24" i="2"/>
  <c r="N23" i="2" s="1"/>
  <c r="N22" i="2" s="1"/>
  <c r="N21" i="2" s="1"/>
  <c r="N20" i="2" s="1"/>
  <c r="N19" i="2" s="1"/>
  <c r="N14" i="1"/>
  <c r="N13" i="1" s="1"/>
  <c r="N12" i="1" s="1"/>
  <c r="N11" i="1" s="1"/>
  <c r="N10" i="1" s="1"/>
  <c r="N9" i="1" s="1"/>
  <c r="N8" i="1" s="1"/>
  <c r="N7" i="1" s="1"/>
  <c r="O14" i="1"/>
  <c r="O23" i="1"/>
  <c r="N23" i="1"/>
  <c r="N22" i="1" s="1"/>
  <c r="N21" i="1" s="1"/>
  <c r="N20" i="1" s="1"/>
  <c r="N19" i="1" s="1"/>
  <c r="N18" i="1" s="1"/>
  <c r="N17" i="1" s="1"/>
  <c r="N16" i="1" s="1"/>
  <c r="N38" i="1"/>
  <c r="N37" i="1" s="1"/>
  <c r="N36" i="1" s="1"/>
  <c r="O38" i="1"/>
  <c r="O48" i="1"/>
  <c r="N48" i="1"/>
  <c r="N47" i="1" s="1"/>
  <c r="N53" i="1"/>
  <c r="N52" i="1" s="1"/>
  <c r="O53" i="1"/>
  <c r="N61" i="1"/>
  <c r="N60" i="1" s="1"/>
  <c r="O61" i="1"/>
  <c r="N64" i="1"/>
  <c r="N63" i="1" s="1"/>
  <c r="O64" i="1"/>
  <c r="N74" i="1"/>
  <c r="N73" i="1" s="1"/>
  <c r="N72" i="1" s="1"/>
  <c r="N71" i="1" s="1"/>
  <c r="N70" i="1" s="1"/>
  <c r="N69" i="1" s="1"/>
  <c r="N68" i="1" s="1"/>
  <c r="O74" i="1"/>
  <c r="N82" i="1"/>
  <c r="N81" i="1" s="1"/>
  <c r="N80" i="1" s="1"/>
  <c r="N79" i="1" s="1"/>
  <c r="N78" i="1" s="1"/>
  <c r="O82" i="1"/>
  <c r="N88" i="1"/>
  <c r="N87" i="1" s="1"/>
  <c r="N86" i="1" s="1"/>
  <c r="N85" i="1" s="1"/>
  <c r="N84" i="1" s="1"/>
  <c r="O88" i="1"/>
  <c r="N94" i="1"/>
  <c r="N93" i="1" s="1"/>
  <c r="N92" i="1" s="1"/>
  <c r="N91" i="1" s="1"/>
  <c r="N90" i="1" s="1"/>
  <c r="O94" i="1"/>
  <c r="N103" i="1"/>
  <c r="N102" i="1" s="1"/>
  <c r="N101" i="1" s="1"/>
  <c r="O103" i="1"/>
  <c r="N107" i="1"/>
  <c r="N106" i="1" s="1"/>
  <c r="N105" i="1" s="1"/>
  <c r="O107" i="1"/>
  <c r="N111" i="1"/>
  <c r="N110" i="1" s="1"/>
  <c r="N109" i="1" s="1"/>
  <c r="O111" i="1"/>
  <c r="N121" i="1"/>
  <c r="N120" i="1" s="1"/>
  <c r="N119" i="1" s="1"/>
  <c r="N118" i="1" s="1"/>
  <c r="N117" i="1" s="1"/>
  <c r="N116" i="1" s="1"/>
  <c r="N115" i="1" s="1"/>
  <c r="N114" i="1" s="1"/>
  <c r="N113" i="1" s="1"/>
  <c r="N138" i="1"/>
  <c r="N137" i="1" s="1"/>
  <c r="N136" i="1" s="1"/>
  <c r="N135" i="1" s="1"/>
  <c r="N134" i="1" s="1"/>
  <c r="O138" i="1"/>
  <c r="N147" i="1"/>
  <c r="N146" i="1" s="1"/>
  <c r="N145" i="1" s="1"/>
  <c r="N144" i="1" s="1"/>
  <c r="N143" i="1" s="1"/>
  <c r="N142" i="1" s="1"/>
  <c r="N141" i="1" s="1"/>
  <c r="N140" i="1" s="1"/>
  <c r="O147" i="1"/>
  <c r="O160" i="1"/>
  <c r="N160" i="1"/>
  <c r="N159" i="1" s="1"/>
  <c r="N158" i="1" s="1"/>
  <c r="N157" i="1" s="1"/>
  <c r="N156" i="1" s="1"/>
  <c r="N155" i="1" s="1"/>
  <c r="N154" i="1" s="1"/>
  <c r="N153" i="1" s="1"/>
  <c r="N170" i="1"/>
  <c r="N169" i="1" s="1"/>
  <c r="N168" i="1" s="1"/>
  <c r="N167" i="1" s="1"/>
  <c r="N166" i="1" s="1"/>
  <c r="N165" i="1" s="1"/>
  <c r="N164" i="1" s="1"/>
  <c r="N163" i="1" s="1"/>
  <c r="O170" i="1"/>
  <c r="N187" i="1"/>
  <c r="N186" i="1" s="1"/>
  <c r="N185" i="1" s="1"/>
  <c r="N184" i="1" s="1"/>
  <c r="N183" i="1" s="1"/>
  <c r="N182" i="1" s="1"/>
  <c r="O187" i="1"/>
  <c r="N194" i="1"/>
  <c r="N193" i="1" s="1"/>
  <c r="N192" i="1" s="1"/>
  <c r="N191" i="1" s="1"/>
  <c r="N190" i="1" s="1"/>
  <c r="N189" i="1" s="1"/>
  <c r="O194" i="1"/>
  <c r="N203" i="1"/>
  <c r="N202" i="1" s="1"/>
  <c r="O203" i="1"/>
  <c r="O206" i="1"/>
  <c r="N206" i="1"/>
  <c r="N205" i="1" s="1"/>
  <c r="N214" i="1"/>
  <c r="N213" i="1" s="1"/>
  <c r="N212" i="1" s="1"/>
  <c r="N211" i="1" s="1"/>
  <c r="N210" i="1" s="1"/>
  <c r="N209" i="1" s="1"/>
  <c r="N208" i="1" s="1"/>
  <c r="O214" i="1"/>
  <c r="N223" i="1"/>
  <c r="N222" i="1" s="1"/>
  <c r="N221" i="1" s="1"/>
  <c r="N220" i="1" s="1"/>
  <c r="N219" i="1" s="1"/>
  <c r="N218" i="1" s="1"/>
  <c r="N217" i="1" s="1"/>
  <c r="N216" i="1" s="1"/>
  <c r="O223" i="1"/>
  <c r="O163" i="2" l="1"/>
  <c r="O93" i="1"/>
  <c r="O87" i="1"/>
  <c r="O81" i="1"/>
  <c r="O73" i="1"/>
  <c r="O237" i="6"/>
  <c r="O215" i="6"/>
  <c r="O24" i="6"/>
  <c r="O241" i="2"/>
  <c r="O146" i="2"/>
  <c r="O159" i="1"/>
  <c r="O86" i="2"/>
  <c r="O47" i="2"/>
  <c r="O24" i="2"/>
  <c r="O23" i="2" s="1"/>
  <c r="O22" i="1"/>
  <c r="O222" i="1"/>
  <c r="O193" i="1"/>
  <c r="O299" i="2"/>
  <c r="N281" i="2"/>
  <c r="N280" i="2" s="1"/>
  <c r="N279" i="2" s="1"/>
  <c r="N278" i="2" s="1"/>
  <c r="O283" i="2"/>
  <c r="O229" i="2"/>
  <c r="O205" i="2"/>
  <c r="N181" i="2"/>
  <c r="N169" i="2" s="1"/>
  <c r="O186" i="2"/>
  <c r="O154" i="2"/>
  <c r="O123" i="2"/>
  <c r="O98" i="2"/>
  <c r="O213" i="1"/>
  <c r="O205" i="1"/>
  <c r="O202" i="1"/>
  <c r="O186" i="1"/>
  <c r="O169" i="1"/>
  <c r="O146" i="1"/>
  <c r="O137" i="1"/>
  <c r="O110" i="1"/>
  <c r="O106" i="1"/>
  <c r="O102" i="1"/>
  <c r="O63" i="1"/>
  <c r="O60" i="1"/>
  <c r="O52" i="1"/>
  <c r="O47" i="1"/>
  <c r="O46" i="1"/>
  <c r="O37" i="1"/>
  <c r="O13" i="1"/>
  <c r="N93" i="2"/>
  <c r="N18" i="2"/>
  <c r="N100" i="1"/>
  <c r="N99" i="1" s="1"/>
  <c r="N98" i="1" s="1"/>
  <c r="N97" i="1" s="1"/>
  <c r="N96" i="1" s="1"/>
  <c r="N181" i="1"/>
  <c r="N201" i="1"/>
  <c r="N200" i="1" s="1"/>
  <c r="N199" i="1" s="1"/>
  <c r="N198" i="1" s="1"/>
  <c r="N197" i="1" s="1"/>
  <c r="N196" i="1" s="1"/>
  <c r="O121" i="1"/>
  <c r="N59" i="1"/>
  <c r="N58" i="1" s="1"/>
  <c r="N57" i="1" s="1"/>
  <c r="N56" i="1" s="1"/>
  <c r="N55" i="1" s="1"/>
  <c r="N46" i="1"/>
  <c r="N35" i="1" s="1"/>
  <c r="N34" i="1" s="1"/>
  <c r="N33" i="1" s="1"/>
  <c r="N32" i="1" s="1"/>
  <c r="N133" i="1"/>
  <c r="N132" i="1" s="1"/>
  <c r="N131" i="1" s="1"/>
  <c r="N130" i="1" s="1"/>
  <c r="N77" i="1"/>
  <c r="N76" i="1" s="1"/>
  <c r="N67" i="1" s="1"/>
  <c r="M244" i="6"/>
  <c r="P244" i="6" s="1"/>
  <c r="M243" i="6"/>
  <c r="P243" i="6" s="1"/>
  <c r="M242" i="6"/>
  <c r="P242" i="6" s="1"/>
  <c r="M241" i="6"/>
  <c r="P241" i="6" s="1"/>
  <c r="M240" i="6"/>
  <c r="P240" i="6" s="1"/>
  <c r="M235" i="6"/>
  <c r="P235" i="6" s="1"/>
  <c r="M234" i="6"/>
  <c r="P234" i="6" s="1"/>
  <c r="M233" i="6"/>
  <c r="P233" i="6" s="1"/>
  <c r="M228" i="6"/>
  <c r="P228" i="6" s="1"/>
  <c r="M227" i="6"/>
  <c r="M225" i="6"/>
  <c r="P225" i="6" s="1"/>
  <c r="M224" i="6"/>
  <c r="M222" i="6"/>
  <c r="P222" i="6" s="1"/>
  <c r="M221" i="6"/>
  <c r="P221" i="6" s="1"/>
  <c r="M220" i="6"/>
  <c r="P220" i="6" s="1"/>
  <c r="M219" i="6"/>
  <c r="P219" i="6" s="1"/>
  <c r="M218" i="6"/>
  <c r="P218" i="6" s="1"/>
  <c r="M213" i="6"/>
  <c r="P213" i="6" s="1"/>
  <c r="M212" i="6"/>
  <c r="P212" i="6" s="1"/>
  <c r="M211" i="6"/>
  <c r="M209" i="6"/>
  <c r="M207" i="6"/>
  <c r="P207" i="6" s="1"/>
  <c r="M206" i="6"/>
  <c r="P206" i="6" s="1"/>
  <c r="M205" i="6"/>
  <c r="P205" i="6" s="1"/>
  <c r="M204" i="6"/>
  <c r="P204" i="6" s="1"/>
  <c r="M200" i="6"/>
  <c r="P200" i="6" s="1"/>
  <c r="M199" i="6"/>
  <c r="P199" i="6" s="1"/>
  <c r="M198" i="6"/>
  <c r="P198" i="6" s="1"/>
  <c r="M197" i="6"/>
  <c r="P197" i="6" s="1"/>
  <c r="M196" i="6"/>
  <c r="P196" i="6" s="1"/>
  <c r="M195" i="6"/>
  <c r="P195" i="6" s="1"/>
  <c r="M194" i="6"/>
  <c r="P194" i="6" s="1"/>
  <c r="M192" i="6"/>
  <c r="P192" i="6" s="1"/>
  <c r="M191" i="6"/>
  <c r="P191" i="6" s="1"/>
  <c r="M190" i="6"/>
  <c r="P190" i="6" s="1"/>
  <c r="M189" i="6"/>
  <c r="P189" i="6" s="1"/>
  <c r="M188" i="6"/>
  <c r="P188" i="6" s="1"/>
  <c r="M187" i="6"/>
  <c r="P187" i="6" s="1"/>
  <c r="M186" i="6"/>
  <c r="P186" i="6" s="1"/>
  <c r="M185" i="6"/>
  <c r="P185" i="6" s="1"/>
  <c r="M184" i="6"/>
  <c r="P184" i="6" s="1"/>
  <c r="M183" i="6"/>
  <c r="P183" i="6" s="1"/>
  <c r="M182" i="6"/>
  <c r="P182" i="6" s="1"/>
  <c r="M181" i="6"/>
  <c r="M179" i="6"/>
  <c r="P179" i="6" s="1"/>
  <c r="M178" i="6"/>
  <c r="P178" i="6" s="1"/>
  <c r="M177" i="6"/>
  <c r="P177" i="6" s="1"/>
  <c r="M175" i="6"/>
  <c r="P175" i="6" s="1"/>
  <c r="M174" i="6"/>
  <c r="P174" i="6" s="1"/>
  <c r="M173" i="6"/>
  <c r="M171" i="6"/>
  <c r="P171" i="6" s="1"/>
  <c r="M170" i="6"/>
  <c r="P170" i="6" s="1"/>
  <c r="M169" i="6"/>
  <c r="P169" i="6" s="1"/>
  <c r="M168" i="6"/>
  <c r="P168" i="6" s="1"/>
  <c r="M167" i="6"/>
  <c r="P167" i="6" s="1"/>
  <c r="M166" i="6"/>
  <c r="P166" i="6" s="1"/>
  <c r="M164" i="6"/>
  <c r="P164" i="6" s="1"/>
  <c r="M163" i="6"/>
  <c r="P163" i="6" s="1"/>
  <c r="M162" i="6"/>
  <c r="P162" i="6" s="1"/>
  <c r="M161" i="6"/>
  <c r="P161" i="6" s="1"/>
  <c r="M160" i="6"/>
  <c r="P160" i="6" s="1"/>
  <c r="M159" i="6"/>
  <c r="P159" i="6" s="1"/>
  <c r="M158" i="6"/>
  <c r="P158" i="6" s="1"/>
  <c r="M156" i="6"/>
  <c r="M154" i="6"/>
  <c r="P154" i="6" s="1"/>
  <c r="M153" i="6"/>
  <c r="P153" i="6" s="1"/>
  <c r="M152" i="6"/>
  <c r="P152" i="6" s="1"/>
  <c r="M150" i="6"/>
  <c r="P150" i="6" s="1"/>
  <c r="M149" i="6"/>
  <c r="P149" i="6" s="1"/>
  <c r="M148" i="6"/>
  <c r="P148" i="6" s="1"/>
  <c r="M147" i="6"/>
  <c r="P147" i="6" s="1"/>
  <c r="M146" i="6"/>
  <c r="P146" i="6" s="1"/>
  <c r="M145" i="6"/>
  <c r="P145" i="6" s="1"/>
  <c r="M144" i="6"/>
  <c r="P144" i="6" s="1"/>
  <c r="M143" i="6"/>
  <c r="P143" i="6" s="1"/>
  <c r="M142" i="6"/>
  <c r="P142" i="6" s="1"/>
  <c r="M141" i="6"/>
  <c r="P141" i="6" s="1"/>
  <c r="M140" i="6"/>
  <c r="P140" i="6" s="1"/>
  <c r="M139" i="6"/>
  <c r="P139" i="6" s="1"/>
  <c r="M138" i="6"/>
  <c r="P138" i="6" s="1"/>
  <c r="M137" i="6"/>
  <c r="P137" i="6" s="1"/>
  <c r="M136" i="6"/>
  <c r="P136" i="6" s="1"/>
  <c r="M135" i="6"/>
  <c r="P135" i="6" s="1"/>
  <c r="M134" i="6"/>
  <c r="P134" i="6" s="1"/>
  <c r="M133" i="6"/>
  <c r="P133" i="6" s="1"/>
  <c r="M132" i="6"/>
  <c r="P132" i="6" s="1"/>
  <c r="M131" i="6"/>
  <c r="P131" i="6" s="1"/>
  <c r="M130" i="6"/>
  <c r="P130" i="6" s="1"/>
  <c r="M129" i="6"/>
  <c r="P129" i="6" s="1"/>
  <c r="M128" i="6"/>
  <c r="P128" i="6" s="1"/>
  <c r="M127" i="6"/>
  <c r="P127" i="6" s="1"/>
  <c r="M126" i="6"/>
  <c r="P126" i="6" s="1"/>
  <c r="M125" i="6"/>
  <c r="P125" i="6" s="1"/>
  <c r="M124" i="6"/>
  <c r="P124" i="6" s="1"/>
  <c r="M123" i="6"/>
  <c r="P123" i="6" s="1"/>
  <c r="M122" i="6"/>
  <c r="P122" i="6" s="1"/>
  <c r="M121" i="6"/>
  <c r="P121" i="6" s="1"/>
  <c r="M120" i="6"/>
  <c r="P120" i="6" s="1"/>
  <c r="M119" i="6"/>
  <c r="P119" i="6" s="1"/>
  <c r="M117" i="6"/>
  <c r="P117" i="6" s="1"/>
  <c r="M116" i="6"/>
  <c r="P116" i="6" s="1"/>
  <c r="M115" i="6"/>
  <c r="M113" i="6"/>
  <c r="P113" i="6" s="1"/>
  <c r="M112" i="6"/>
  <c r="P112" i="6" s="1"/>
  <c r="M110" i="6"/>
  <c r="P110" i="6" s="1"/>
  <c r="M109" i="6"/>
  <c r="P109" i="6" s="1"/>
  <c r="M107" i="6"/>
  <c r="P107" i="6" s="1"/>
  <c r="M106" i="6"/>
  <c r="P106" i="6" s="1"/>
  <c r="M105" i="6"/>
  <c r="P105" i="6" s="1"/>
  <c r="M103" i="6"/>
  <c r="P103" i="6" s="1"/>
  <c r="M102" i="6"/>
  <c r="P102" i="6" s="1"/>
  <c r="M101" i="6"/>
  <c r="P101" i="6" s="1"/>
  <c r="M100" i="6"/>
  <c r="P100" i="6" s="1"/>
  <c r="M99" i="6"/>
  <c r="P99" i="6" s="1"/>
  <c r="M98" i="6"/>
  <c r="P98" i="6" s="1"/>
  <c r="M97" i="6"/>
  <c r="P97" i="6" s="1"/>
  <c r="M96" i="6"/>
  <c r="P96" i="6" s="1"/>
  <c r="M95" i="6"/>
  <c r="P95" i="6" s="1"/>
  <c r="M94" i="6"/>
  <c r="P94" i="6" s="1"/>
  <c r="M93" i="6"/>
  <c r="P93" i="6" s="1"/>
  <c r="M92" i="6"/>
  <c r="P92" i="6" s="1"/>
  <c r="M91" i="6"/>
  <c r="P91" i="6" s="1"/>
  <c r="M90" i="6"/>
  <c r="P90" i="6" s="1"/>
  <c r="M89" i="6"/>
  <c r="P89" i="6" s="1"/>
  <c r="M88" i="6"/>
  <c r="P88" i="6" s="1"/>
  <c r="M87" i="6"/>
  <c r="P87" i="6" s="1"/>
  <c r="M86" i="6"/>
  <c r="P86" i="6" s="1"/>
  <c r="M85" i="6"/>
  <c r="P85" i="6" s="1"/>
  <c r="M84" i="6"/>
  <c r="P84" i="6" s="1"/>
  <c r="M82" i="6"/>
  <c r="P82" i="6" s="1"/>
  <c r="M81" i="6"/>
  <c r="P81" i="6" s="1"/>
  <c r="M80" i="6"/>
  <c r="P80" i="6" s="1"/>
  <c r="M79" i="6"/>
  <c r="P79" i="6" s="1"/>
  <c r="M78" i="6"/>
  <c r="P78" i="6" s="1"/>
  <c r="M77" i="6"/>
  <c r="P77" i="6" s="1"/>
  <c r="M76" i="6"/>
  <c r="P76" i="6" s="1"/>
  <c r="M75" i="6"/>
  <c r="P75" i="6" s="1"/>
  <c r="M74" i="6"/>
  <c r="P74" i="6" s="1"/>
  <c r="M73" i="6"/>
  <c r="P73" i="6" s="1"/>
  <c r="M72" i="6"/>
  <c r="P72" i="6" s="1"/>
  <c r="M70" i="6"/>
  <c r="P70" i="6" s="1"/>
  <c r="M69" i="6"/>
  <c r="P69" i="6" s="1"/>
  <c r="M68" i="6"/>
  <c r="P68" i="6" s="1"/>
  <c r="M67" i="6"/>
  <c r="P67" i="6" s="1"/>
  <c r="M66" i="6"/>
  <c r="P66" i="6" s="1"/>
  <c r="M65" i="6"/>
  <c r="P65" i="6" s="1"/>
  <c r="M64" i="6"/>
  <c r="P64" i="6" s="1"/>
  <c r="M63" i="6"/>
  <c r="P63" i="6" s="1"/>
  <c r="M62" i="6"/>
  <c r="P62" i="6" s="1"/>
  <c r="M61" i="6"/>
  <c r="P61" i="6" s="1"/>
  <c r="M60" i="6"/>
  <c r="P60" i="6" s="1"/>
  <c r="M59" i="6"/>
  <c r="P59" i="6" s="1"/>
  <c r="M58" i="6"/>
  <c r="P58" i="6" s="1"/>
  <c r="M56" i="6"/>
  <c r="P56" i="6" s="1"/>
  <c r="M55" i="6"/>
  <c r="P55" i="6" s="1"/>
  <c r="M54" i="6"/>
  <c r="P54" i="6" s="1"/>
  <c r="M53" i="6"/>
  <c r="P53" i="6" s="1"/>
  <c r="M51" i="6"/>
  <c r="M49" i="6"/>
  <c r="M47" i="6"/>
  <c r="P47" i="6" s="1"/>
  <c r="M46" i="6"/>
  <c r="P46" i="6" s="1"/>
  <c r="M45" i="6"/>
  <c r="P45" i="6" s="1"/>
  <c r="M44" i="6"/>
  <c r="P44" i="6" s="1"/>
  <c r="M42" i="6"/>
  <c r="P42" i="6" s="1"/>
  <c r="M41" i="6"/>
  <c r="P41" i="6" s="1"/>
  <c r="M40" i="6"/>
  <c r="P40" i="6" s="1"/>
  <c r="M39" i="6"/>
  <c r="P39" i="6" s="1"/>
  <c r="M38" i="6"/>
  <c r="P38" i="6" s="1"/>
  <c r="M36" i="6"/>
  <c r="P36" i="6" s="1"/>
  <c r="M35" i="6"/>
  <c r="P35" i="6" s="1"/>
  <c r="M34" i="6"/>
  <c r="P34" i="6" s="1"/>
  <c r="M33" i="6"/>
  <c r="P33" i="6" s="1"/>
  <c r="M32" i="6"/>
  <c r="P32" i="6" s="1"/>
  <c r="M31" i="6"/>
  <c r="P31" i="6" s="1"/>
  <c r="M30" i="6"/>
  <c r="P30" i="6" s="1"/>
  <c r="M29" i="6"/>
  <c r="P29" i="6" s="1"/>
  <c r="M28" i="6"/>
  <c r="P28" i="6" s="1"/>
  <c r="M27" i="6"/>
  <c r="M14" i="6"/>
  <c r="O201" i="1" l="1"/>
  <c r="M13" i="6"/>
  <c r="P14" i="6"/>
  <c r="M48" i="6"/>
  <c r="P48" i="6" s="1"/>
  <c r="P49" i="6"/>
  <c r="M208" i="6"/>
  <c r="P208" i="6" s="1"/>
  <c r="P209" i="6"/>
  <c r="M26" i="6"/>
  <c r="P26" i="6" s="1"/>
  <c r="P27" i="6"/>
  <c r="M50" i="6"/>
  <c r="P50" i="6" s="1"/>
  <c r="P51" i="6"/>
  <c r="M114" i="6"/>
  <c r="P114" i="6" s="1"/>
  <c r="P115" i="6"/>
  <c r="M155" i="6"/>
  <c r="P155" i="6" s="1"/>
  <c r="P156" i="6"/>
  <c r="M172" i="6"/>
  <c r="P172" i="6" s="1"/>
  <c r="P173" i="6"/>
  <c r="M180" i="6"/>
  <c r="P180" i="6" s="1"/>
  <c r="P181" i="6"/>
  <c r="M210" i="6"/>
  <c r="P210" i="6" s="1"/>
  <c r="P211" i="6"/>
  <c r="M223" i="6"/>
  <c r="P223" i="6" s="1"/>
  <c r="P224" i="6"/>
  <c r="M226" i="6"/>
  <c r="P226" i="6" s="1"/>
  <c r="P227" i="6"/>
  <c r="M232" i="6"/>
  <c r="P232" i="6" s="1"/>
  <c r="M239" i="6"/>
  <c r="P239" i="6" s="1"/>
  <c r="O92" i="1"/>
  <c r="O86" i="1"/>
  <c r="O80" i="1"/>
  <c r="O72" i="1"/>
  <c r="O236" i="6"/>
  <c r="O214" i="6"/>
  <c r="O23" i="6"/>
  <c r="O240" i="2"/>
  <c r="O145" i="2"/>
  <c r="O158" i="1"/>
  <c r="O120" i="1"/>
  <c r="O85" i="2"/>
  <c r="O46" i="2"/>
  <c r="O22" i="2"/>
  <c r="O21" i="1"/>
  <c r="O59" i="1"/>
  <c r="O58" i="1" s="1"/>
  <c r="O221" i="1"/>
  <c r="O192" i="1"/>
  <c r="O298" i="2"/>
  <c r="O282" i="2"/>
  <c r="O228" i="2"/>
  <c r="O204" i="2"/>
  <c r="O185" i="2"/>
  <c r="O153" i="2"/>
  <c r="O116" i="2"/>
  <c r="O97" i="2"/>
  <c r="O212" i="1"/>
  <c r="O200" i="1"/>
  <c r="O185" i="1"/>
  <c r="O168" i="1"/>
  <c r="O145" i="1"/>
  <c r="O136" i="1"/>
  <c r="O109" i="1"/>
  <c r="O105" i="1"/>
  <c r="O101" i="1"/>
  <c r="O36" i="1"/>
  <c r="O12" i="1"/>
  <c r="N6" i="2"/>
  <c r="N180" i="1"/>
  <c r="N31" i="1"/>
  <c r="M52" i="6"/>
  <c r="P52" i="6" s="1"/>
  <c r="M118" i="6"/>
  <c r="P118" i="6" s="1"/>
  <c r="M176" i="6"/>
  <c r="P176" i="6" s="1"/>
  <c r="M43" i="6"/>
  <c r="P43" i="6" s="1"/>
  <c r="M71" i="6"/>
  <c r="P71" i="6" s="1"/>
  <c r="M108" i="6"/>
  <c r="P108" i="6" s="1"/>
  <c r="M111" i="6"/>
  <c r="P111" i="6" s="1"/>
  <c r="M165" i="6"/>
  <c r="P165" i="6" s="1"/>
  <c r="M203" i="6"/>
  <c r="M104" i="6"/>
  <c r="P104" i="6" s="1"/>
  <c r="M217" i="6"/>
  <c r="M37" i="6"/>
  <c r="P37" i="6" s="1"/>
  <c r="M57" i="6"/>
  <c r="P57" i="6" s="1"/>
  <c r="M83" i="6"/>
  <c r="P83" i="6" s="1"/>
  <c r="M151" i="6"/>
  <c r="P151" i="6" s="1"/>
  <c r="M157" i="6"/>
  <c r="P157" i="6" s="1"/>
  <c r="M193" i="6"/>
  <c r="P193" i="6" s="1"/>
  <c r="M231" i="6"/>
  <c r="M230" i="6" l="1"/>
  <c r="P231" i="6"/>
  <c r="M238" i="6"/>
  <c r="M216" i="6"/>
  <c r="P216" i="6" s="1"/>
  <c r="P217" i="6"/>
  <c r="M202" i="6"/>
  <c r="P202" i="6" s="1"/>
  <c r="P203" i="6"/>
  <c r="M12" i="6"/>
  <c r="P13" i="6"/>
  <c r="O91" i="1"/>
  <c r="O85" i="1"/>
  <c r="O79" i="1"/>
  <c r="O71" i="1"/>
  <c r="O22" i="6"/>
  <c r="O239" i="2"/>
  <c r="O144" i="2"/>
  <c r="O157" i="1"/>
  <c r="O119" i="1"/>
  <c r="O84" i="2"/>
  <c r="O45" i="2"/>
  <c r="O21" i="2"/>
  <c r="O20" i="1"/>
  <c r="O220" i="1"/>
  <c r="O191" i="1"/>
  <c r="O281" i="2"/>
  <c r="O227" i="2"/>
  <c r="O203" i="2"/>
  <c r="O184" i="2"/>
  <c r="O152" i="2"/>
  <c r="O115" i="2"/>
  <c r="O96" i="2"/>
  <c r="O211" i="1"/>
  <c r="O199" i="1"/>
  <c r="O184" i="1"/>
  <c r="O167" i="1"/>
  <c r="O144" i="1"/>
  <c r="O135" i="1"/>
  <c r="O100" i="1"/>
  <c r="O57" i="1"/>
  <c r="O35" i="1"/>
  <c r="O11" i="1"/>
  <c r="N6" i="1"/>
  <c r="M201" i="6"/>
  <c r="M320" i="2"/>
  <c r="P320" i="2" s="1"/>
  <c r="M295" i="2"/>
  <c r="P295" i="2" s="1"/>
  <c r="M11" i="6" l="1"/>
  <c r="P12" i="6"/>
  <c r="M25" i="6"/>
  <c r="P201" i="6"/>
  <c r="M237" i="6"/>
  <c r="P238" i="6"/>
  <c r="M229" i="6"/>
  <c r="P229" i="6" s="1"/>
  <c r="P230" i="6"/>
  <c r="O90" i="1"/>
  <c r="O84" i="1"/>
  <c r="O78" i="1"/>
  <c r="O70" i="1"/>
  <c r="O21" i="6"/>
  <c r="O238" i="2"/>
  <c r="O156" i="1"/>
  <c r="O118" i="1"/>
  <c r="O83" i="2"/>
  <c r="O44" i="2"/>
  <c r="O20" i="2"/>
  <c r="O19" i="1"/>
  <c r="O219" i="1"/>
  <c r="O190" i="1"/>
  <c r="O280" i="2"/>
  <c r="O226" i="2"/>
  <c r="O202" i="2"/>
  <c r="O183" i="2"/>
  <c r="O143" i="2"/>
  <c r="O114" i="2"/>
  <c r="O95" i="2"/>
  <c r="O210" i="1"/>
  <c r="O198" i="1"/>
  <c r="O183" i="1"/>
  <c r="O166" i="1"/>
  <c r="O143" i="1"/>
  <c r="O133" i="1"/>
  <c r="O134" i="1"/>
  <c r="O99" i="1"/>
  <c r="O56" i="1"/>
  <c r="O34" i="1"/>
  <c r="O10" i="1"/>
  <c r="M215" i="6"/>
  <c r="M319" i="2"/>
  <c r="M309" i="2"/>
  <c r="P309" i="2" s="1"/>
  <c r="M307" i="2"/>
  <c r="P307" i="2" s="1"/>
  <c r="M305" i="2"/>
  <c r="P305" i="2" s="1"/>
  <c r="M303" i="2"/>
  <c r="P303" i="2" s="1"/>
  <c r="M301" i="2"/>
  <c r="M296" i="2"/>
  <c r="P296" i="2" s="1"/>
  <c r="M294" i="2"/>
  <c r="P294" i="2" s="1"/>
  <c r="M292" i="2"/>
  <c r="P292" i="2" s="1"/>
  <c r="M290" i="2"/>
  <c r="P290" i="2" s="1"/>
  <c r="M288" i="2"/>
  <c r="P288" i="2" s="1"/>
  <c r="M285" i="2"/>
  <c r="P285" i="2" s="1"/>
  <c r="M276" i="2"/>
  <c r="M267" i="2"/>
  <c r="M257" i="2"/>
  <c r="M248" i="2"/>
  <c r="P248" i="2" s="1"/>
  <c r="M247" i="2"/>
  <c r="M245" i="2"/>
  <c r="P245" i="2" s="1"/>
  <c r="M244" i="2"/>
  <c r="P244" i="2" s="1"/>
  <c r="M234" i="2"/>
  <c r="P234" i="2" s="1"/>
  <c r="M233" i="2"/>
  <c r="P233" i="2" s="1"/>
  <c r="M232" i="2"/>
  <c r="P232" i="2" s="1"/>
  <c r="M231" i="2"/>
  <c r="M223" i="2"/>
  <c r="P223" i="2" s="1"/>
  <c r="M222" i="2"/>
  <c r="P222" i="2" s="1"/>
  <c r="M218" i="2"/>
  <c r="P218" i="2" s="1"/>
  <c r="M216" i="2"/>
  <c r="P216" i="2" s="1"/>
  <c r="M214" i="2"/>
  <c r="P214" i="2" s="1"/>
  <c r="M212" i="2"/>
  <c r="P212" i="2" s="1"/>
  <c r="M211" i="2"/>
  <c r="P211" i="2" s="1"/>
  <c r="M210" i="2"/>
  <c r="M207" i="2"/>
  <c r="P207" i="2" s="1"/>
  <c r="M198" i="2"/>
  <c r="P198" i="2" s="1"/>
  <c r="M196" i="2"/>
  <c r="P196" i="2" s="1"/>
  <c r="M194" i="2"/>
  <c r="P194" i="2" s="1"/>
  <c r="M192" i="2"/>
  <c r="P192" i="2" s="1"/>
  <c r="M190" i="2"/>
  <c r="P190" i="2" s="1"/>
  <c r="M188" i="2"/>
  <c r="P188" i="2" s="1"/>
  <c r="M179" i="2"/>
  <c r="P179" i="2" s="1"/>
  <c r="M177" i="2"/>
  <c r="P177" i="2" s="1"/>
  <c r="M167" i="2"/>
  <c r="M161" i="2"/>
  <c r="P161" i="2" s="1"/>
  <c r="M158" i="2"/>
  <c r="P158" i="2" s="1"/>
  <c r="M156" i="2"/>
  <c r="P156" i="2" s="1"/>
  <c r="M150" i="2"/>
  <c r="P150" i="2" s="1"/>
  <c r="M148" i="2"/>
  <c r="M137" i="2"/>
  <c r="M134" i="2"/>
  <c r="P134" i="2" s="1"/>
  <c r="M133" i="2"/>
  <c r="M131" i="2"/>
  <c r="P131" i="2" s="1"/>
  <c r="M130" i="2"/>
  <c r="P130" i="2" s="1"/>
  <c r="M128" i="2"/>
  <c r="P128" i="2" s="1"/>
  <c r="M127" i="2"/>
  <c r="P127" i="2" s="1"/>
  <c r="M122" i="2"/>
  <c r="P122" i="2" s="1"/>
  <c r="M112" i="2"/>
  <c r="P112" i="2" s="1"/>
  <c r="M105" i="2"/>
  <c r="P105" i="2" s="1"/>
  <c r="M104" i="2"/>
  <c r="M100" i="2"/>
  <c r="P100" i="2" s="1"/>
  <c r="M88" i="2"/>
  <c r="M81" i="2"/>
  <c r="P81" i="2" s="1"/>
  <c r="M80" i="2"/>
  <c r="M78" i="2"/>
  <c r="M76" i="2"/>
  <c r="M73" i="2"/>
  <c r="P73" i="2" s="1"/>
  <c r="M72" i="2"/>
  <c r="M70" i="2"/>
  <c r="M68" i="2"/>
  <c r="P68" i="2" s="1"/>
  <c r="M67" i="2"/>
  <c r="P67" i="2" s="1"/>
  <c r="M64" i="2"/>
  <c r="M62" i="2"/>
  <c r="M60" i="2"/>
  <c r="M58" i="2"/>
  <c r="M56" i="2"/>
  <c r="M54" i="2"/>
  <c r="M52" i="2"/>
  <c r="M50" i="2"/>
  <c r="M41" i="2"/>
  <c r="M39" i="2"/>
  <c r="M37" i="2"/>
  <c r="M35" i="2"/>
  <c r="M33" i="2"/>
  <c r="P33" i="2" s="1"/>
  <c r="M32" i="2"/>
  <c r="P32" i="2" s="1"/>
  <c r="M31" i="2"/>
  <c r="P31" i="2" s="1"/>
  <c r="M30" i="2"/>
  <c r="P30" i="2" s="1"/>
  <c r="M28" i="2"/>
  <c r="M26" i="2"/>
  <c r="M16" i="2"/>
  <c r="P16" i="2" s="1"/>
  <c r="M14" i="2"/>
  <c r="P14" i="2" s="1"/>
  <c r="M224" i="1"/>
  <c r="M214" i="1"/>
  <c r="M207" i="1"/>
  <c r="M203" i="1"/>
  <c r="M194" i="1"/>
  <c r="M187" i="1"/>
  <c r="M179" i="1"/>
  <c r="M162" i="1"/>
  <c r="M147" i="1"/>
  <c r="M138" i="1"/>
  <c r="M129" i="1"/>
  <c r="P129" i="1" s="1"/>
  <c r="M128" i="1"/>
  <c r="P128" i="1" s="1"/>
  <c r="M127" i="1"/>
  <c r="P127" i="1" s="1"/>
  <c r="M126" i="1"/>
  <c r="P126" i="1" s="1"/>
  <c r="M125" i="1"/>
  <c r="P125" i="1" s="1"/>
  <c r="M124" i="1"/>
  <c r="P124" i="1" s="1"/>
  <c r="M123" i="1"/>
  <c r="P123" i="1" s="1"/>
  <c r="M122" i="1"/>
  <c r="P122" i="1" s="1"/>
  <c r="M111" i="1"/>
  <c r="M107" i="1"/>
  <c r="M103" i="1"/>
  <c r="M94" i="1"/>
  <c r="M88" i="1"/>
  <c r="M82" i="1"/>
  <c r="M74" i="1"/>
  <c r="M66" i="1"/>
  <c r="P66" i="1" s="1"/>
  <c r="M65" i="1"/>
  <c r="P65" i="1" s="1"/>
  <c r="M61" i="1"/>
  <c r="M53" i="1"/>
  <c r="M50" i="1"/>
  <c r="M38" i="1"/>
  <c r="M28" i="1"/>
  <c r="M14" i="1"/>
  <c r="M23" i="1" l="1"/>
  <c r="P23" i="1" s="1"/>
  <c r="P28" i="1"/>
  <c r="M48" i="1"/>
  <c r="P50" i="1"/>
  <c r="M60" i="1"/>
  <c r="P60" i="1" s="1"/>
  <c r="P61" i="1"/>
  <c r="M81" i="1"/>
  <c r="P82" i="1"/>
  <c r="M93" i="1"/>
  <c r="P94" i="1"/>
  <c r="M106" i="1"/>
  <c r="P107" i="1"/>
  <c r="M137" i="1"/>
  <c r="P138" i="1"/>
  <c r="M160" i="1"/>
  <c r="P162" i="1"/>
  <c r="M186" i="1"/>
  <c r="P187" i="1"/>
  <c r="M202" i="1"/>
  <c r="P202" i="1" s="1"/>
  <c r="P203" i="1"/>
  <c r="M213" i="1"/>
  <c r="P214" i="1"/>
  <c r="M13" i="1"/>
  <c r="P14" i="1"/>
  <c r="M37" i="1"/>
  <c r="P38" i="1"/>
  <c r="M52" i="1"/>
  <c r="P52" i="1" s="1"/>
  <c r="P53" i="1"/>
  <c r="M73" i="1"/>
  <c r="P74" i="1"/>
  <c r="M87" i="1"/>
  <c r="P88" i="1"/>
  <c r="M102" i="1"/>
  <c r="P103" i="1"/>
  <c r="M110" i="1"/>
  <c r="P111" i="1"/>
  <c r="M146" i="1"/>
  <c r="P147" i="1"/>
  <c r="M170" i="1"/>
  <c r="P179" i="1"/>
  <c r="M193" i="1"/>
  <c r="P194" i="1"/>
  <c r="M206" i="1"/>
  <c r="P207" i="1"/>
  <c r="M223" i="1"/>
  <c r="P224" i="1"/>
  <c r="M214" i="6"/>
  <c r="P215" i="6"/>
  <c r="M236" i="6"/>
  <c r="P236" i="6" s="1"/>
  <c r="P237" i="6"/>
  <c r="M24" i="6"/>
  <c r="P25" i="6"/>
  <c r="M10" i="6"/>
  <c r="P11" i="6"/>
  <c r="M25" i="2"/>
  <c r="P25" i="2" s="1"/>
  <c r="P26" i="2"/>
  <c r="M34" i="2"/>
  <c r="P34" i="2" s="1"/>
  <c r="P35" i="2"/>
  <c r="M38" i="2"/>
  <c r="P38" i="2" s="1"/>
  <c r="P39" i="2"/>
  <c r="M49" i="2"/>
  <c r="P49" i="2" s="1"/>
  <c r="P50" i="2"/>
  <c r="M53" i="2"/>
  <c r="P53" i="2" s="1"/>
  <c r="P54" i="2"/>
  <c r="M57" i="2"/>
  <c r="P57" i="2" s="1"/>
  <c r="P58" i="2"/>
  <c r="M61" i="2"/>
  <c r="P61" i="2" s="1"/>
  <c r="P62" i="2"/>
  <c r="M69" i="2"/>
  <c r="P69" i="2" s="1"/>
  <c r="P70" i="2"/>
  <c r="M77" i="2"/>
  <c r="P77" i="2" s="1"/>
  <c r="P78" i="2"/>
  <c r="M132" i="2"/>
  <c r="P132" i="2" s="1"/>
  <c r="P133" i="2"/>
  <c r="M136" i="2"/>
  <c r="P136" i="2" s="1"/>
  <c r="P137" i="2"/>
  <c r="M147" i="2"/>
  <c r="P148" i="2"/>
  <c r="M246" i="2"/>
  <c r="P246" i="2" s="1"/>
  <c r="P247" i="2"/>
  <c r="M256" i="2"/>
  <c r="P257" i="2"/>
  <c r="M275" i="2"/>
  <c r="P276" i="2"/>
  <c r="M318" i="2"/>
  <c r="P319" i="2"/>
  <c r="M27" i="2"/>
  <c r="P27" i="2" s="1"/>
  <c r="P28" i="2"/>
  <c r="M36" i="2"/>
  <c r="P36" i="2" s="1"/>
  <c r="P37" i="2"/>
  <c r="M40" i="2"/>
  <c r="P40" i="2" s="1"/>
  <c r="P41" i="2"/>
  <c r="M51" i="2"/>
  <c r="P51" i="2" s="1"/>
  <c r="P52" i="2"/>
  <c r="M55" i="2"/>
  <c r="P55" i="2" s="1"/>
  <c r="P56" i="2"/>
  <c r="M59" i="2"/>
  <c r="P59" i="2" s="1"/>
  <c r="P60" i="2"/>
  <c r="M63" i="2"/>
  <c r="P63" i="2" s="1"/>
  <c r="P64" i="2"/>
  <c r="M71" i="2"/>
  <c r="P71" i="2" s="1"/>
  <c r="P72" i="2"/>
  <c r="M75" i="2"/>
  <c r="P75" i="2" s="1"/>
  <c r="P76" i="2"/>
  <c r="M79" i="2"/>
  <c r="P79" i="2" s="1"/>
  <c r="P80" i="2"/>
  <c r="M87" i="2"/>
  <c r="P88" i="2"/>
  <c r="M103" i="2"/>
  <c r="P103" i="2" s="1"/>
  <c r="P104" i="2"/>
  <c r="M110" i="2"/>
  <c r="M119" i="2"/>
  <c r="M125" i="2"/>
  <c r="M166" i="2"/>
  <c r="P167" i="2"/>
  <c r="M209" i="2"/>
  <c r="P209" i="2" s="1"/>
  <c r="P210" i="2"/>
  <c r="M230" i="2"/>
  <c r="P231" i="2"/>
  <c r="M243" i="2"/>
  <c r="M266" i="2"/>
  <c r="P267" i="2"/>
  <c r="M300" i="2"/>
  <c r="P301" i="2"/>
  <c r="O77" i="1"/>
  <c r="O69" i="1"/>
  <c r="O20" i="6"/>
  <c r="O237" i="2"/>
  <c r="O155" i="1"/>
  <c r="O117" i="1"/>
  <c r="O82" i="2"/>
  <c r="O43" i="2"/>
  <c r="O19" i="2"/>
  <c r="O18" i="1"/>
  <c r="O218" i="1"/>
  <c r="O189" i="1"/>
  <c r="O279" i="2"/>
  <c r="O225" i="2"/>
  <c r="O201" i="2"/>
  <c r="O182" i="2"/>
  <c r="O142" i="2"/>
  <c r="O113" i="2"/>
  <c r="O94" i="2"/>
  <c r="O209" i="1"/>
  <c r="O197" i="1"/>
  <c r="O182" i="1"/>
  <c r="O165" i="1"/>
  <c r="O142" i="1"/>
  <c r="O132" i="1"/>
  <c r="O98" i="1"/>
  <c r="O55" i="1"/>
  <c r="O33" i="1"/>
  <c r="O9" i="1"/>
  <c r="M155" i="2"/>
  <c r="M187" i="2"/>
  <c r="M66" i="2"/>
  <c r="P66" i="2" s="1"/>
  <c r="M176" i="2"/>
  <c r="M99" i="2"/>
  <c r="M13" i="2"/>
  <c r="M29" i="2"/>
  <c r="M221" i="2"/>
  <c r="M284" i="2"/>
  <c r="M22" i="1"/>
  <c r="M64" i="1"/>
  <c r="M121" i="1"/>
  <c r="M63" i="1" l="1"/>
  <c r="P64" i="1"/>
  <c r="M120" i="1"/>
  <c r="P121" i="1"/>
  <c r="M21" i="1"/>
  <c r="P22" i="1"/>
  <c r="M222" i="1"/>
  <c r="P223" i="1"/>
  <c r="M205" i="1"/>
  <c r="P206" i="1"/>
  <c r="M192" i="1"/>
  <c r="P193" i="1"/>
  <c r="M169" i="1"/>
  <c r="P170" i="1"/>
  <c r="M145" i="1"/>
  <c r="P146" i="1"/>
  <c r="M109" i="1"/>
  <c r="P109" i="1" s="1"/>
  <c r="P110" i="1"/>
  <c r="M101" i="1"/>
  <c r="P102" i="1"/>
  <c r="M86" i="1"/>
  <c r="P87" i="1"/>
  <c r="M72" i="1"/>
  <c r="P73" i="1"/>
  <c r="M36" i="1"/>
  <c r="P37" i="1"/>
  <c r="M12" i="1"/>
  <c r="P13" i="1"/>
  <c r="M212" i="1"/>
  <c r="P213" i="1"/>
  <c r="M185" i="1"/>
  <c r="P186" i="1"/>
  <c r="M159" i="1"/>
  <c r="P160" i="1"/>
  <c r="M136" i="1"/>
  <c r="P137" i="1"/>
  <c r="M105" i="1"/>
  <c r="P105" i="1" s="1"/>
  <c r="P106" i="1"/>
  <c r="M92" i="1"/>
  <c r="P93" i="1"/>
  <c r="M80" i="1"/>
  <c r="P81" i="1"/>
  <c r="M47" i="1"/>
  <c r="P48" i="1"/>
  <c r="M9" i="6"/>
  <c r="P10" i="6"/>
  <c r="M23" i="6"/>
  <c r="P23" i="6" s="1"/>
  <c r="P24" i="6"/>
  <c r="M22" i="6"/>
  <c r="P214" i="6"/>
  <c r="M48" i="2"/>
  <c r="M283" i="2"/>
  <c r="P284" i="2"/>
  <c r="M24" i="2"/>
  <c r="P29" i="2"/>
  <c r="M175" i="2"/>
  <c r="P176" i="2"/>
  <c r="M186" i="2"/>
  <c r="P187" i="2"/>
  <c r="M242" i="2"/>
  <c r="P243" i="2"/>
  <c r="M229" i="2"/>
  <c r="P230" i="2"/>
  <c r="M165" i="2"/>
  <c r="P166" i="2"/>
  <c r="M118" i="2"/>
  <c r="P119" i="2"/>
  <c r="M47" i="2"/>
  <c r="P48" i="2"/>
  <c r="M206" i="2"/>
  <c r="P221" i="2"/>
  <c r="M12" i="2"/>
  <c r="P13" i="2"/>
  <c r="M98" i="2"/>
  <c r="P99" i="2"/>
  <c r="M154" i="2"/>
  <c r="P155" i="2"/>
  <c r="M299" i="2"/>
  <c r="P300" i="2"/>
  <c r="M265" i="2"/>
  <c r="P266" i="2"/>
  <c r="M124" i="2"/>
  <c r="P125" i="2"/>
  <c r="M109" i="2"/>
  <c r="P110" i="2"/>
  <c r="M86" i="2"/>
  <c r="P87" i="2"/>
  <c r="M317" i="2"/>
  <c r="P318" i="2"/>
  <c r="M274" i="2"/>
  <c r="P275" i="2"/>
  <c r="M255" i="2"/>
  <c r="P256" i="2"/>
  <c r="P147" i="2"/>
  <c r="M146" i="2"/>
  <c r="O76" i="1"/>
  <c r="O68" i="1"/>
  <c r="O19" i="6"/>
  <c r="O236" i="2"/>
  <c r="O154" i="1"/>
  <c r="O116" i="1"/>
  <c r="O42" i="2"/>
  <c r="O18" i="2" s="1"/>
  <c r="O17" i="1"/>
  <c r="O217" i="1"/>
  <c r="O278" i="2"/>
  <c r="O224" i="2"/>
  <c r="O141" i="2"/>
  <c r="O93" i="2"/>
  <c r="O208" i="1"/>
  <c r="O196" i="1"/>
  <c r="O181" i="1"/>
  <c r="O164" i="1"/>
  <c r="O141" i="1"/>
  <c r="O131" i="1"/>
  <c r="O97" i="1"/>
  <c r="O32" i="1"/>
  <c r="O8" i="1"/>
  <c r="M20" i="1" l="1"/>
  <c r="P21" i="1"/>
  <c r="M119" i="1"/>
  <c r="P120" i="1"/>
  <c r="M46" i="1"/>
  <c r="P46" i="1" s="1"/>
  <c r="P47" i="1"/>
  <c r="M79" i="1"/>
  <c r="P80" i="1"/>
  <c r="M91" i="1"/>
  <c r="P92" i="1"/>
  <c r="M135" i="1"/>
  <c r="P136" i="1"/>
  <c r="M158" i="1"/>
  <c r="P159" i="1"/>
  <c r="M184" i="1"/>
  <c r="P185" i="1"/>
  <c r="M211" i="1"/>
  <c r="P212" i="1"/>
  <c r="M11" i="1"/>
  <c r="P12" i="1"/>
  <c r="M35" i="1"/>
  <c r="P36" i="1"/>
  <c r="M71" i="1"/>
  <c r="P72" i="1"/>
  <c r="M85" i="1"/>
  <c r="P86" i="1"/>
  <c r="P101" i="1"/>
  <c r="M100" i="1"/>
  <c r="M144" i="1"/>
  <c r="P145" i="1"/>
  <c r="M168" i="1"/>
  <c r="P169" i="1"/>
  <c r="M191" i="1"/>
  <c r="P192" i="1"/>
  <c r="P205" i="1"/>
  <c r="M201" i="1"/>
  <c r="M221" i="1"/>
  <c r="P222" i="1"/>
  <c r="M59" i="1"/>
  <c r="P63" i="1"/>
  <c r="M21" i="6"/>
  <c r="P22" i="6"/>
  <c r="M8" i="6"/>
  <c r="P9" i="6"/>
  <c r="M254" i="2"/>
  <c r="P255" i="2"/>
  <c r="M273" i="2"/>
  <c r="P274" i="2"/>
  <c r="M316" i="2"/>
  <c r="P317" i="2"/>
  <c r="M85" i="2"/>
  <c r="P86" i="2"/>
  <c r="M108" i="2"/>
  <c r="P109" i="2"/>
  <c r="M123" i="2"/>
  <c r="P123" i="2" s="1"/>
  <c r="P124" i="2"/>
  <c r="M264" i="2"/>
  <c r="P265" i="2"/>
  <c r="M298" i="2"/>
  <c r="P298" i="2" s="1"/>
  <c r="P299" i="2"/>
  <c r="O181" i="2"/>
  <c r="M145" i="2"/>
  <c r="P146" i="2"/>
  <c r="M153" i="2"/>
  <c r="P154" i="2"/>
  <c r="M97" i="2"/>
  <c r="P98" i="2"/>
  <c r="M11" i="2"/>
  <c r="P12" i="2"/>
  <c r="M205" i="2"/>
  <c r="P206" i="2"/>
  <c r="M46" i="2"/>
  <c r="P47" i="2"/>
  <c r="M117" i="2"/>
  <c r="P118" i="2"/>
  <c r="M164" i="2"/>
  <c r="P165" i="2"/>
  <c r="M228" i="2"/>
  <c r="P229" i="2"/>
  <c r="M241" i="2"/>
  <c r="P242" i="2"/>
  <c r="M185" i="2"/>
  <c r="P186" i="2"/>
  <c r="M174" i="2"/>
  <c r="P175" i="2"/>
  <c r="M23" i="2"/>
  <c r="P24" i="2"/>
  <c r="M282" i="2"/>
  <c r="P283" i="2"/>
  <c r="O67" i="1"/>
  <c r="O18" i="6"/>
  <c r="O153" i="1"/>
  <c r="O115" i="1"/>
  <c r="O16" i="1"/>
  <c r="O216" i="1"/>
  <c r="O169" i="2"/>
  <c r="O140" i="2"/>
  <c r="O180" i="1"/>
  <c r="O163" i="1"/>
  <c r="O140" i="1"/>
  <c r="O130" i="1" s="1"/>
  <c r="O96" i="1"/>
  <c r="O31" i="1"/>
  <c r="O7" i="1"/>
  <c r="M58" i="1" l="1"/>
  <c r="P59" i="1"/>
  <c r="M220" i="1"/>
  <c r="P221" i="1"/>
  <c r="M190" i="1"/>
  <c r="P191" i="1"/>
  <c r="M167" i="1"/>
  <c r="P168" i="1"/>
  <c r="M143" i="1"/>
  <c r="P144" i="1"/>
  <c r="M84" i="1"/>
  <c r="P84" i="1" s="1"/>
  <c r="P85" i="1"/>
  <c r="M70" i="1"/>
  <c r="P71" i="1"/>
  <c r="M34" i="1"/>
  <c r="P35" i="1"/>
  <c r="M10" i="1"/>
  <c r="P11" i="1"/>
  <c r="M210" i="1"/>
  <c r="P211" i="1"/>
  <c r="M183" i="1"/>
  <c r="P184" i="1"/>
  <c r="M157" i="1"/>
  <c r="P158" i="1"/>
  <c r="M133" i="1"/>
  <c r="P135" i="1"/>
  <c r="M134" i="1"/>
  <c r="P134" i="1" s="1"/>
  <c r="M90" i="1"/>
  <c r="P90" i="1" s="1"/>
  <c r="P91" i="1"/>
  <c r="M78" i="1"/>
  <c r="P79" i="1"/>
  <c r="M118" i="1"/>
  <c r="P119" i="1"/>
  <c r="M19" i="1"/>
  <c r="P20" i="1"/>
  <c r="M200" i="1"/>
  <c r="P201" i="1"/>
  <c r="M99" i="1"/>
  <c r="P100" i="1"/>
  <c r="M7" i="6"/>
  <c r="P7" i="6" s="1"/>
  <c r="P8" i="6"/>
  <c r="M20" i="6"/>
  <c r="P21" i="6"/>
  <c r="M263" i="2"/>
  <c r="P264" i="2"/>
  <c r="M107" i="2"/>
  <c r="P107" i="2" s="1"/>
  <c r="P108" i="2"/>
  <c r="M84" i="2"/>
  <c r="P85" i="2"/>
  <c r="M315" i="2"/>
  <c r="P316" i="2"/>
  <c r="M272" i="2"/>
  <c r="P273" i="2"/>
  <c r="M253" i="2"/>
  <c r="P254" i="2"/>
  <c r="M281" i="2"/>
  <c r="P282" i="2"/>
  <c r="M22" i="2"/>
  <c r="P23" i="2"/>
  <c r="M173" i="2"/>
  <c r="P174" i="2"/>
  <c r="M184" i="2"/>
  <c r="P185" i="2"/>
  <c r="M240" i="2"/>
  <c r="P241" i="2"/>
  <c r="M227" i="2"/>
  <c r="P228" i="2"/>
  <c r="M163" i="2"/>
  <c r="P163" i="2" s="1"/>
  <c r="P164" i="2"/>
  <c r="P117" i="2"/>
  <c r="M116" i="2"/>
  <c r="M45" i="2"/>
  <c r="P46" i="2"/>
  <c r="M204" i="2"/>
  <c r="P205" i="2"/>
  <c r="M10" i="2"/>
  <c r="P11" i="2"/>
  <c r="P97" i="2"/>
  <c r="M96" i="2"/>
  <c r="M152" i="2"/>
  <c r="P152" i="2" s="1"/>
  <c r="P153" i="2"/>
  <c r="M144" i="2"/>
  <c r="P145" i="2"/>
  <c r="O6" i="6"/>
  <c r="O6" i="2"/>
  <c r="O114" i="1"/>
  <c r="M98" i="1" l="1"/>
  <c r="P99" i="1"/>
  <c r="M199" i="1"/>
  <c r="P200" i="1"/>
  <c r="M18" i="1"/>
  <c r="P19" i="1"/>
  <c r="M117" i="1"/>
  <c r="P118" i="1"/>
  <c r="M77" i="1"/>
  <c r="P78" i="1"/>
  <c r="M132" i="1"/>
  <c r="P133" i="1"/>
  <c r="M156" i="1"/>
  <c r="P157" i="1"/>
  <c r="M182" i="1"/>
  <c r="P183" i="1"/>
  <c r="M209" i="1"/>
  <c r="P210" i="1"/>
  <c r="M9" i="1"/>
  <c r="P10" i="1"/>
  <c r="M33" i="1"/>
  <c r="P34" i="1"/>
  <c r="M69" i="1"/>
  <c r="P70" i="1"/>
  <c r="M142" i="1"/>
  <c r="P143" i="1"/>
  <c r="M166" i="1"/>
  <c r="P167" i="1"/>
  <c r="M189" i="1"/>
  <c r="P189" i="1" s="1"/>
  <c r="P190" i="1"/>
  <c r="M219" i="1"/>
  <c r="P220" i="1"/>
  <c r="M57" i="1"/>
  <c r="P58" i="1"/>
  <c r="M19" i="6"/>
  <c r="P20" i="6"/>
  <c r="P144" i="2"/>
  <c r="M143" i="2"/>
  <c r="M9" i="2"/>
  <c r="P10" i="2"/>
  <c r="M203" i="2"/>
  <c r="P204" i="2"/>
  <c r="M44" i="2"/>
  <c r="P45" i="2"/>
  <c r="M226" i="2"/>
  <c r="P227" i="2"/>
  <c r="M239" i="2"/>
  <c r="P240" i="2"/>
  <c r="M183" i="2"/>
  <c r="P184" i="2"/>
  <c r="M172" i="2"/>
  <c r="P173" i="2"/>
  <c r="M21" i="2"/>
  <c r="P22" i="2"/>
  <c r="M280" i="2"/>
  <c r="P281" i="2"/>
  <c r="M95" i="2"/>
  <c r="P96" i="2"/>
  <c r="M115" i="2"/>
  <c r="P116" i="2"/>
  <c r="M252" i="2"/>
  <c r="P253" i="2"/>
  <c r="M271" i="2"/>
  <c r="P272" i="2"/>
  <c r="M314" i="2"/>
  <c r="P315" i="2"/>
  <c r="M83" i="2"/>
  <c r="P84" i="2"/>
  <c r="M262" i="2"/>
  <c r="P263" i="2"/>
  <c r="O113" i="1"/>
  <c r="M56" i="1" l="1"/>
  <c r="P57" i="1"/>
  <c r="M218" i="1"/>
  <c r="P219" i="1"/>
  <c r="M165" i="1"/>
  <c r="P166" i="1"/>
  <c r="M141" i="1"/>
  <c r="P142" i="1"/>
  <c r="M68" i="1"/>
  <c r="P68" i="1" s="1"/>
  <c r="P69" i="1"/>
  <c r="M32" i="1"/>
  <c r="P32" i="1" s="1"/>
  <c r="P33" i="1"/>
  <c r="M8" i="1"/>
  <c r="P9" i="1"/>
  <c r="M208" i="1"/>
  <c r="P208" i="1" s="1"/>
  <c r="P209" i="1"/>
  <c r="M181" i="1"/>
  <c r="P181" i="1" s="1"/>
  <c r="P182" i="1"/>
  <c r="M155" i="1"/>
  <c r="P156" i="1"/>
  <c r="M131" i="1"/>
  <c r="P132" i="1"/>
  <c r="M76" i="1"/>
  <c r="P77" i="1"/>
  <c r="M116" i="1"/>
  <c r="P117" i="1"/>
  <c r="M17" i="1"/>
  <c r="P18" i="1"/>
  <c r="M198" i="1"/>
  <c r="P199" i="1"/>
  <c r="M97" i="1"/>
  <c r="P98" i="1"/>
  <c r="M18" i="6"/>
  <c r="P19" i="6"/>
  <c r="M261" i="2"/>
  <c r="P262" i="2"/>
  <c r="M82" i="2"/>
  <c r="P82" i="2" s="1"/>
  <c r="P83" i="2"/>
  <c r="M313" i="2"/>
  <c r="P314" i="2"/>
  <c r="M270" i="2"/>
  <c r="P271" i="2"/>
  <c r="M251" i="2"/>
  <c r="P252" i="2"/>
  <c r="M114" i="2"/>
  <c r="P115" i="2"/>
  <c r="M94" i="2"/>
  <c r="P95" i="2"/>
  <c r="M279" i="2"/>
  <c r="P280" i="2"/>
  <c r="M20" i="2"/>
  <c r="P21" i="2"/>
  <c r="M171" i="2"/>
  <c r="P172" i="2"/>
  <c r="M182" i="2"/>
  <c r="P183" i="2"/>
  <c r="M238" i="2"/>
  <c r="P239" i="2"/>
  <c r="M225" i="2"/>
  <c r="P226" i="2"/>
  <c r="M43" i="2"/>
  <c r="P44" i="2"/>
  <c r="M202" i="2"/>
  <c r="P203" i="2"/>
  <c r="M8" i="2"/>
  <c r="P9" i="2"/>
  <c r="M142" i="2"/>
  <c r="P143" i="2"/>
  <c r="O6" i="1"/>
  <c r="M96" i="1" l="1"/>
  <c r="P96" i="1" s="1"/>
  <c r="P97" i="1"/>
  <c r="M197" i="1"/>
  <c r="P198" i="1"/>
  <c r="M16" i="1"/>
  <c r="P16" i="1" s="1"/>
  <c r="P17" i="1"/>
  <c r="M115" i="1"/>
  <c r="P116" i="1"/>
  <c r="M67" i="1"/>
  <c r="P67" i="1" s="1"/>
  <c r="P76" i="1"/>
  <c r="P131" i="1"/>
  <c r="M154" i="1"/>
  <c r="P155" i="1"/>
  <c r="M7" i="1"/>
  <c r="P8" i="1"/>
  <c r="M140" i="1"/>
  <c r="P140" i="1" s="1"/>
  <c r="P141" i="1"/>
  <c r="M164" i="1"/>
  <c r="P165" i="1"/>
  <c r="M217" i="1"/>
  <c r="P218" i="1"/>
  <c r="M55" i="1"/>
  <c r="P56" i="1"/>
  <c r="M6" i="6"/>
  <c r="P6" i="6" s="1"/>
  <c r="P18" i="6"/>
  <c r="M141" i="2"/>
  <c r="P142" i="2"/>
  <c r="M7" i="2"/>
  <c r="P8" i="2"/>
  <c r="M201" i="2"/>
  <c r="P201" i="2" s="1"/>
  <c r="P202" i="2"/>
  <c r="M42" i="2"/>
  <c r="P42" i="2" s="1"/>
  <c r="P43" i="2"/>
  <c r="M224" i="2"/>
  <c r="P224" i="2" s="1"/>
  <c r="P225" i="2"/>
  <c r="M237" i="2"/>
  <c r="P237" i="2" s="1"/>
  <c r="P238" i="2"/>
  <c r="P182" i="2"/>
  <c r="M181" i="2"/>
  <c r="P181" i="2" s="1"/>
  <c r="M170" i="2"/>
  <c r="P171" i="2"/>
  <c r="M19" i="2"/>
  <c r="P20" i="2"/>
  <c r="M278" i="2"/>
  <c r="P278" i="2" s="1"/>
  <c r="P279" i="2"/>
  <c r="P94" i="2"/>
  <c r="M93" i="2"/>
  <c r="P93" i="2" s="1"/>
  <c r="M113" i="2"/>
  <c r="P113" i="2" s="1"/>
  <c r="P114" i="2"/>
  <c r="M250" i="2"/>
  <c r="P251" i="2"/>
  <c r="M269" i="2"/>
  <c r="P269" i="2" s="1"/>
  <c r="P270" i="2"/>
  <c r="M312" i="2"/>
  <c r="P313" i="2"/>
  <c r="M260" i="2"/>
  <c r="P260" i="2" s="1"/>
  <c r="P261" i="2"/>
  <c r="M31" i="1" l="1"/>
  <c r="P31" i="1" s="1"/>
  <c r="P55" i="1"/>
  <c r="M216" i="1"/>
  <c r="P216" i="1" s="1"/>
  <c r="P217" i="1"/>
  <c r="M163" i="1"/>
  <c r="P163" i="1" s="1"/>
  <c r="P164" i="1"/>
  <c r="P7" i="1"/>
  <c r="M153" i="1"/>
  <c r="P153" i="1" s="1"/>
  <c r="P154" i="1"/>
  <c r="M130" i="1"/>
  <c r="P130" i="1" s="1"/>
  <c r="M114" i="1"/>
  <c r="P115" i="1"/>
  <c r="M196" i="1"/>
  <c r="P197" i="1"/>
  <c r="M311" i="2"/>
  <c r="P311" i="2" s="1"/>
  <c r="P312" i="2"/>
  <c r="P250" i="2"/>
  <c r="M236" i="2"/>
  <c r="P236" i="2" s="1"/>
  <c r="P19" i="2"/>
  <c r="M18" i="2"/>
  <c r="P18" i="2" s="1"/>
  <c r="P170" i="2"/>
  <c r="M169" i="2"/>
  <c r="P169" i="2" s="1"/>
  <c r="P7" i="2"/>
  <c r="M6" i="2"/>
  <c r="P6" i="2" s="1"/>
  <c r="M140" i="2"/>
  <c r="P140" i="2" s="1"/>
  <c r="P141" i="2"/>
  <c r="M180" i="1" l="1"/>
  <c r="P180" i="1" s="1"/>
  <c r="P196" i="1"/>
  <c r="M113" i="1"/>
  <c r="P114" i="1"/>
  <c r="P113" i="1" l="1"/>
  <c r="M6" i="1"/>
  <c r="P6" i="1" s="1"/>
</calcChain>
</file>

<file path=xl/sharedStrings.xml><?xml version="1.0" encoding="utf-8"?>
<sst xmlns="http://schemas.openxmlformats.org/spreadsheetml/2006/main" count="8723" uniqueCount="625">
  <si>
    <t/>
  </si>
  <si>
    <t>рублей</t>
  </si>
  <si>
    <t>ГП</t>
  </si>
  <si>
    <t>ППГП</t>
  </si>
  <si>
    <t>ОМ</t>
  </si>
  <si>
    <t>ГРБС</t>
  </si>
  <si>
    <t>Рз</t>
  </si>
  <si>
    <t>Пр</t>
  </si>
  <si>
    <t>НР</t>
  </si>
  <si>
    <t>ВР</t>
  </si>
  <si>
    <t>Единица измерения</t>
  </si>
  <si>
    <t>Мощность</t>
  </si>
  <si>
    <t>Срок ввода в действие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</si>
  <si>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</si>
  <si>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</si>
  <si>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</si>
  <si>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</si>
  <si>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</si>
  <si>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</si>
  <si>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</si>
  <si>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</si>
  <si>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</si>
  <si>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</si>
  <si>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</si>
  <si>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</si>
  <si>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</si>
  <si>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Итого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</si>
  <si>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</si>
  <si>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02</t>
  </si>
  <si>
    <t>Укрепление пожарной безопасности в населенных пунктах Брянкой области, проведение аварийно-спасательных и других неотложных работ, подготовка населения, органов управления РСЧС в области гражданской обороны, защиты от чрезвычайных ситуаций</t>
  </si>
  <si>
    <t>0</t>
  </si>
  <si>
    <t>Департамент строительства Брянской области</t>
  </si>
  <si>
    <t>819</t>
  </si>
  <si>
    <t>Государственный заказчик: государственное казённое учреждение "Управление капитального строительства Брянской области"</t>
  </si>
  <si>
    <t>Национальная безопасность и правоохранительная деятельность</t>
  </si>
  <si>
    <t>03</t>
  </si>
  <si>
    <t>Обеспечение пожарной безопасности</t>
  </si>
  <si>
    <t>Бюджетные инвестиции в объекты капитальных вложений государственной собственности</t>
  </si>
  <si>
    <t>11260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</si>
  <si>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</si>
  <si>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</si>
  <si>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2020</t>
  </si>
  <si>
    <t>Развитие топливно-энергетического комплекса и жилищно-коммунального хозяйства Брянской области</t>
  </si>
  <si>
    <t>Содействие реформированию жилищно-коммунального хозяйства, создание благоприятных условий проживания граждан</t>
  </si>
  <si>
    <t>Департамент топливно-энергетического комплекса и жилищно-коммунального хозяйства Брянской области</t>
  </si>
  <si>
    <t>812</t>
  </si>
  <si>
    <t>Государственный заказчик: Государственное унитарное предприятие Брянской области "Брянсккоммунэнерго"</t>
  </si>
  <si>
    <t>Жилищно-коммунальное хозяйство</t>
  </si>
  <si>
    <t>05</t>
  </si>
  <si>
    <t>Коммунальное хозяйство</t>
  </si>
  <si>
    <t>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унитарным предприятиям</t>
  </si>
  <si>
    <t>466</t>
  </si>
  <si>
    <t>МВт</t>
  </si>
  <si>
    <t>2019</t>
  </si>
  <si>
    <t>МВт/км</t>
  </si>
  <si>
    <t>Реконструкция котельной больницы по ул. Октябрьской в п.г.т. Погаре Погарского района Брянской области</t>
  </si>
  <si>
    <t>Строительство БМК с целью ликвидации котельной №9 в с.Староселье Унечского района Брянской области</t>
  </si>
  <si>
    <t>0,3/0,47</t>
  </si>
  <si>
    <t>Строительство БМК с целью ликвидации котельной № 14 в д. Березина Унечского района Брянской области</t>
  </si>
  <si>
    <t>0,5/0,2</t>
  </si>
  <si>
    <t>Развитие здравоохранения Брянской области</t>
  </si>
  <si>
    <t>14</t>
  </si>
  <si>
    <t>Развитие инфраструктуры сферы здравоохранения</t>
  </si>
  <si>
    <t>18</t>
  </si>
  <si>
    <t>Здравоохранение</t>
  </si>
  <si>
    <t>09</t>
  </si>
  <si>
    <t>Амбулаторная помощь</t>
  </si>
  <si>
    <t>Поликлиника на 150 посещений в смену ГБУЗ "Стародубская ЦРБ" в г. Стародуб Брянской области</t>
  </si>
  <si>
    <t>пос. в смену</t>
  </si>
  <si>
    <t>150</t>
  </si>
  <si>
    <t>Стационарная медицинская помощь</t>
  </si>
  <si>
    <t>01</t>
  </si>
  <si>
    <t>Лечебный корпус городской больницы №4 по ул. Бежицкой в Советском районе г. Брянска</t>
  </si>
  <si>
    <t>мест</t>
  </si>
  <si>
    <t>120</t>
  </si>
  <si>
    <t>2021</t>
  </si>
  <si>
    <t>50</t>
  </si>
  <si>
    <t>коек</t>
  </si>
  <si>
    <t>200</t>
  </si>
  <si>
    <t>Пристройка к ГБУЗ "Юдиновская участковая больница" по адресу: Брянская область, Погарский район, с.Юдиново, ул.Набережная, 1а</t>
  </si>
  <si>
    <t>вскрытий в год</t>
  </si>
  <si>
    <t>800</t>
  </si>
  <si>
    <t>Отделение поликлиники на 150 посещений в смену ГБУЗ "Брянская ЦРБ" в н.п. Супонево Брянского района Брянской области</t>
  </si>
  <si>
    <t>Софинансирование капитальных вложений в объекты государственной собственности субъектов Российской Федерации</t>
  </si>
  <si>
    <t>R1110</t>
  </si>
  <si>
    <t>Детская поликлиника на 250 посещений в смену в Фокинском районе г.Брянска</t>
  </si>
  <si>
    <t>250</t>
  </si>
  <si>
    <t>Региональный проект "Развитие системы оказания первичной медико-санитарной помощи"</t>
  </si>
  <si>
    <t>N1</t>
  </si>
  <si>
    <t>15</t>
  </si>
  <si>
    <t>Создание и замена фельдшерских, фельдшерско-акушерских пунктов и врачебных амбулаторий для населенных пунктов с численностью населения от 100 до 2000 человек</t>
  </si>
  <si>
    <t>51960</t>
  </si>
  <si>
    <t>Строительство фельдшерско-акушерского пункта в н.п. Лемешовка Севского района Брянской области</t>
  </si>
  <si>
    <t>Строительство фельдшерско-акушерского пункта в н.п. Летошники Жуковского района Брянской области</t>
  </si>
  <si>
    <t>Подпрограмма "Обеспечение жильем медицинских работников (врачей) государственных учреждений здравоохранения Брянской области"</t>
  </si>
  <si>
    <t>Региональный проект "Обеспечение медицинских организаций системы здравоохранения квалифицированными кадрами"</t>
  </si>
  <si>
    <t>N5</t>
  </si>
  <si>
    <t>Департамент здравоохранения Брянской области</t>
  </si>
  <si>
    <t>814</t>
  </si>
  <si>
    <t>Обеспечение жильем медицинских работников государственных учреждений здравоохранения Брянской области</t>
  </si>
  <si>
    <t>13830</t>
  </si>
  <si>
    <t>Субсидии на приобретение объектов недвижимого имущества в государственную (муниципальную) собственность бюджетным учреждениям</t>
  </si>
  <si>
    <t>461</t>
  </si>
  <si>
    <t>Субсидии на приобретение объектов недвижимого имущества в государственную (муниципальную) собственность автономным учреждениям</t>
  </si>
  <si>
    <t>462</t>
  </si>
  <si>
    <t>Скорая медицинская помощь</t>
  </si>
  <si>
    <t>04</t>
  </si>
  <si>
    <t>Другие вопросы в области здравоохранения</t>
  </si>
  <si>
    <t>Развитие культуры и туризма в Брянской области</t>
  </si>
  <si>
    <t>Развитие инфраструктуры сферы культуры</t>
  </si>
  <si>
    <t>Департамент культуры Брянской области</t>
  </si>
  <si>
    <t>815</t>
  </si>
  <si>
    <t>Государственный заказчик: Государственное бюджетное учреждение культуры "Брянский государственный краеведческий музей"</t>
  </si>
  <si>
    <t>Культура, кинематография</t>
  </si>
  <si>
    <t>08</t>
  </si>
  <si>
    <t>Культура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</si>
  <si>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</si>
  <si>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</si>
  <si>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Реконструкция музея-усадьбы А.К.Толстого. Брянская обл., Почепский р-н, с. Красный Рог</t>
  </si>
  <si>
    <t>куб.м</t>
  </si>
  <si>
    <t>3155,13</t>
  </si>
  <si>
    <t>Региональный проект "Культурная среда"</t>
  </si>
  <si>
    <t>Государственный заказчик: государственное автономное учреждение культуры "Брянский областной театр для детей и юношества"</t>
  </si>
  <si>
    <t>Модернизация театров юного зрителя и театров кукол</t>
  </si>
  <si>
    <t>14270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</si>
  <si>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</si>
  <si>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465</t>
  </si>
  <si>
    <t>Реконструкция театра юного зрителя, расположенного по адресу: г.Брянск, ул.Горького, д.20, включая ПИР</t>
  </si>
  <si>
    <t>28026</t>
  </si>
  <si>
    <t>Реновация государственных и муниципальных учреждений отрасли культуры</t>
  </si>
  <si>
    <t>14280</t>
  </si>
  <si>
    <t>Реконструкция здания музея "Палеолит". Брянская область, Погарский район, с. Юдиново, включая ПИР</t>
  </si>
  <si>
    <t>4000</t>
  </si>
  <si>
    <t>Государственный заказчик: государственное автономное учреждение культуры "Мемориальный комплекс "Партизанская поляна"</t>
  </si>
  <si>
    <t>Реконструкция здания музея "Мемориальный комплекс "Партизанская поляна"</t>
  </si>
  <si>
    <t>Развитие образования и науки Брянской области</t>
  </si>
  <si>
    <t>16</t>
  </si>
  <si>
    <t>Развитие инфраструктуры сферы образования</t>
  </si>
  <si>
    <t>Образование</t>
  </si>
  <si>
    <t>07</t>
  </si>
  <si>
    <t>Дополнительное образование детей</t>
  </si>
  <si>
    <t>Реконструкция здания для создания центра по работе с одаренными детьми в Бежицком районе города Брянска</t>
  </si>
  <si>
    <t>100</t>
  </si>
  <si>
    <t>Общее образование</t>
  </si>
  <si>
    <t>Климовская специальная (коррекционная) школа-интернат для детей сирот и детей, оставшихся без попечения родителей (реконструкция)</t>
  </si>
  <si>
    <t>156</t>
  </si>
  <si>
    <t>Среднее профессиональное образование</t>
  </si>
  <si>
    <t>Спортивный зал ГОУ СПО "Новозыбковский профессионально-педагогический колледж" в г.Новозыбков Брянской области</t>
  </si>
  <si>
    <t>чел. в смену</t>
  </si>
  <si>
    <t>25</t>
  </si>
  <si>
    <t>Развитие сельского хозяйства и регулирование рынков сельскохозяйственной продукции, сырья и продовольствия Брянской области</t>
  </si>
  <si>
    <t>17</t>
  </si>
  <si>
    <t>Подпрограмма "Обеспечение условий развития агропромышленного комплекса"</t>
  </si>
  <si>
    <t>Ведомственная целевая программа "Устойчивое развитие сельских территорий"</t>
  </si>
  <si>
    <t>С2</t>
  </si>
  <si>
    <t>Государственный заказчик: Казенное учреждение "Управление автомобильных дорог Брянской области"</t>
  </si>
  <si>
    <t>Национальная экономика</t>
  </si>
  <si>
    <t>Дорожное хозяйство (дорожные фонды)</t>
  </si>
  <si>
    <t>Обеспечение устойчивого развития сельских территорий</t>
  </si>
  <si>
    <t>R5670</t>
  </si>
  <si>
    <t>Реконструкция автомобильной дороги «Брянск - Смоленск» - Белоголовль на участке км 0+000 – км 5+640 в Жуковском районе Брянской области</t>
  </si>
  <si>
    <t>км</t>
  </si>
  <si>
    <t>5,640</t>
  </si>
  <si>
    <t>Реконструкция автомобильной дороги Севск - Доброводье на участке км 2+300 – км 7+390 с устройством подъезда к автомобильной дороге «Украина» в Севском районе Брянской области</t>
  </si>
  <si>
    <t>6,740</t>
  </si>
  <si>
    <t>Реконструкция автомобильной дороги Жуковка - Косилово на участке км 3+000 – км 12+000 в Жуковском районе Брянской области</t>
  </si>
  <si>
    <t>9,000</t>
  </si>
  <si>
    <t>Реконструкция автомобильной дороги Витовка – Первомайское – Поповка на участке км 1+200 – км 6+100 в Почепском районе Брянской области</t>
  </si>
  <si>
    <t>4,900</t>
  </si>
  <si>
    <t>Реконструкция автомобильной дороги «Брянск - Новозыбков» - Хмелево - Согласие на участке км 0+000 – км 1+700 в Выгоничском районе Брянской области</t>
  </si>
  <si>
    <t>1,700</t>
  </si>
  <si>
    <t>Реконструкция автомобильной дороги Климово – Могилевцы на участке км 1+180 – км 3+980 в Климовском районе Брянской области</t>
  </si>
  <si>
    <t>2,800</t>
  </si>
  <si>
    <t>Реконструкция автомобильной дороги Локоть – Кретово на участке км 3+300 – км 11+150 в Брасовском районе Брянской области</t>
  </si>
  <si>
    <t>7,850</t>
  </si>
  <si>
    <t>Реконструкция автомобильной дороги «Дятьково - Любохна» - Большая Жукова на участке км 3+271 - км 6+113 в Дятьковском районе Брянской области</t>
  </si>
  <si>
    <t>2,842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</si>
  <si>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</si>
  <si>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</si>
  <si>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Подпрограмма "Развитие социальной и инженерной инфраструктуры Брянской области"</t>
  </si>
  <si>
    <t>Перевод отопления учреждений и организаций социально-культурной сферы на природный газ</t>
  </si>
  <si>
    <t>кВт</t>
  </si>
  <si>
    <t>Газификация ФАП в н.п. Хотьяновка Трубчевского района Брянской области</t>
  </si>
  <si>
    <t>18,1</t>
  </si>
  <si>
    <t>Подпрограмма "Автомобильные дороги"</t>
  </si>
  <si>
    <t>Развитие и модернизация сети автомобильных дорог общего пользования регионального, межмуниципального и местного значения</t>
  </si>
  <si>
    <t>21</t>
  </si>
  <si>
    <t>Развитие и совершенствование сети автомобильных дорог регионального значения общего пользования</t>
  </si>
  <si>
    <t>16140</t>
  </si>
  <si>
    <t>Строительство моста через реку Судость на км 8+200 автомобильной дороги Валуец-Баклань в Почепском районе Брянской области</t>
  </si>
  <si>
    <t>Подпрограмма "Развитие малоэтажного строительства на территории Брянской области"</t>
  </si>
  <si>
    <t>Развитие малоэтажного жилищного строительства</t>
  </si>
  <si>
    <t>Газификация участка №8 ГУП ОНО ОПХ "Черемушки" д. Дубровка, Брянского района, Брянской области (1-ая очередь застройки)</t>
  </si>
  <si>
    <t>10,758</t>
  </si>
  <si>
    <t>Газификация участка №8 ГУП ОНО ОПХ "Черемушки" д. Дубровка, Брянского района, Брянской области (2-ая очередь застройки)</t>
  </si>
  <si>
    <t>11,140</t>
  </si>
  <si>
    <t>Газификация участка №8 ГУП ОНО ОПХ "Черемушки" д. Дубровка, Брянского района, Брянской области (3-я очередь застройки)</t>
  </si>
  <si>
    <t>Газификация участка №8 ГУП ОНО ОПХ "Черемушки" д. Дубровка, Брянского района, Брянской области (4-ая очередь застройки)</t>
  </si>
  <si>
    <t>Газификация участка №8 ГУП ОНО ОПХ "Черемушки" д. Дубровка, Брянского района, Брянской области (5-ая очередь застройки)</t>
  </si>
  <si>
    <t>Водоснабжение участка №8 ГУП ОНО ОПХ "Черемушки" д. Дубровка, Брянского района, Брянской области (1-ая очередь застройки) (1 этап строительства)</t>
  </si>
  <si>
    <t>8,778</t>
  </si>
  <si>
    <t>Водоснабжение участка №8 ГУП ОНО ОПХ "Черемушки" д. Дубровка, Брянского района, Брянской области (2-ая очередь застройки) (1 этап строительства)</t>
  </si>
  <si>
    <t>11,058</t>
  </si>
  <si>
    <t>Водоснабжение участка №8 ГУП ОНО ОПХ "Черемушки" д. Дубровка, Брянского района, Брянской области (3-я очередь застройки) (1 этап строительства)</t>
  </si>
  <si>
    <t>9,576</t>
  </si>
  <si>
    <t>Водоснабжение участка №8 ГУП ОНО ОПХ "Черемушки" д. Дубровка, Брянского района, Брянской области (4-ая, 5-ая очередь застройки) (1 этап строительства)</t>
  </si>
  <si>
    <t>10,097</t>
  </si>
  <si>
    <t>Развитие физической культуры и спорта Брянской области</t>
  </si>
  <si>
    <t>Развитие инфраструктуры сферы физической культуры и спорта</t>
  </si>
  <si>
    <t>Физическая культура и спорт</t>
  </si>
  <si>
    <t>Физическая культура</t>
  </si>
  <si>
    <t>Спортивный центр с бассейном г.Жуковка</t>
  </si>
  <si>
    <t>48</t>
  </si>
  <si>
    <t>Спортивно-оздоровительный комплекс в Бежицком районе г.Брянска</t>
  </si>
  <si>
    <t>Спортивно-оздоровительный комплекс в Фокинском районе г.Брянска</t>
  </si>
  <si>
    <t>Спортивно-оздоровительный комплекс г.Дятьково Дятьковского района</t>
  </si>
  <si>
    <t>Спортивно-оздоровительный комплекс г.Севск Севского района</t>
  </si>
  <si>
    <t>Управление физической культуры и спорта Брянской области</t>
  </si>
  <si>
    <t>825</t>
  </si>
  <si>
    <t>Государственный заказчик: Государственное автономное учреждение "Легкоатлетический комплекс"</t>
  </si>
  <si>
    <t>Массовый спорт</t>
  </si>
  <si>
    <t>Реконструкция спортивного корта по адресу Брянская область , г. Брянск, территория парка им. А.С. Пушкина по ул. Ульянова</t>
  </si>
  <si>
    <t>Количество кортов</t>
  </si>
  <si>
    <t>Подпрограмма "Развитие спорта высших достижений и системы подготовки спортивного резерва"</t>
  </si>
  <si>
    <t>Региональный проект "Спорт - норма жизни"</t>
  </si>
  <si>
    <t>P5</t>
  </si>
  <si>
    <t>Создание и модернизация объектов спортивной инфраструктуры региональной собственности для занятий физической культурой и спортом</t>
  </si>
  <si>
    <t>51390</t>
  </si>
  <si>
    <t>Дворец единоборств в Советском районе г.Брянска</t>
  </si>
  <si>
    <t>4024</t>
  </si>
  <si>
    <t>2022</t>
  </si>
  <si>
    <t>Реализация федеральной целевой программы "Развитие физической культуры и спорта в Российской Федерации на 2016 - 2020 годы"</t>
  </si>
  <si>
    <t>54950</t>
  </si>
  <si>
    <t>Реконструкция стадиона "Десна" в Бежицком районе, г. Брянск (в том числе 1 этап реконструкции)</t>
  </si>
  <si>
    <t>3000</t>
  </si>
  <si>
    <t>Развитие мировой юстиции Брянской области</t>
  </si>
  <si>
    <t>30</t>
  </si>
  <si>
    <t>Общегосударственные вопросы</t>
  </si>
  <si>
    <t>Судебная система</t>
  </si>
  <si>
    <t>Развитие промышленности, транспорта и связи Брянской области</t>
  </si>
  <si>
    <t>37</t>
  </si>
  <si>
    <t>Подпрограмма "Развитие международного аэропорта "Брянск""</t>
  </si>
  <si>
    <t>Создание условий для осуществления регулярных и чартерных пассажирских авиаперевозок в международном аэропорту</t>
  </si>
  <si>
    <t>32</t>
  </si>
  <si>
    <t>Департамент промышленности, транспорта и связи Брянской области</t>
  </si>
  <si>
    <t>837</t>
  </si>
  <si>
    <t>Государственный заказчик: департамент промышленности, транспорта и связи Брянской области</t>
  </si>
  <si>
    <t>Транспорт</t>
  </si>
  <si>
    <t>Реконструкция аэропортового комплекса (г. Брянск) (ПИР)</t>
  </si>
  <si>
    <t>Охрана окружающей среды, воспроизводство и использование природных ресурсов Брянской области</t>
  </si>
  <si>
    <t>Обеспечение экологической безопасности населения, охраны окружающей среды, рационального использования природных ресурсов и сохранения биологического разнообразия на территории Брянской области</t>
  </si>
  <si>
    <t>51</t>
  </si>
  <si>
    <t>Департамент природных ресурсов и экологии Брянской области</t>
  </si>
  <si>
    <t>808</t>
  </si>
  <si>
    <t>Охрана окружающей среды</t>
  </si>
  <si>
    <t>06</t>
  </si>
  <si>
    <t>Другие вопросы в области охраны окружающей среды</t>
  </si>
  <si>
    <t>12800</t>
  </si>
  <si>
    <t>Субсидии на софинансирование капитальных вложений в объекты государственной (муниципальной) собственности</t>
  </si>
  <si>
    <t>522</t>
  </si>
  <si>
    <t>город Стародуб</t>
  </si>
  <si>
    <t>Реконструкция очистных сооружений в г. Стародуб</t>
  </si>
  <si>
    <t>куб. м/сут.</t>
  </si>
  <si>
    <t>3600</t>
  </si>
  <si>
    <t>Выгоничский муниципальный район</t>
  </si>
  <si>
    <t>Строительство полигона ТБО в пгт. Выгоничи</t>
  </si>
  <si>
    <t>га</t>
  </si>
  <si>
    <t>Региональный проект "Чистая вода"</t>
  </si>
  <si>
    <t>G5</t>
  </si>
  <si>
    <t>Другие вопросы в области жилищно-коммунального хозяйства</t>
  </si>
  <si>
    <t>Строительство и реконструкция (модернизация) объектов питьевого водоснабжения</t>
  </si>
  <si>
    <t>52430</t>
  </si>
  <si>
    <t>город Клинцы</t>
  </si>
  <si>
    <t>Брасовский муниципальный район</t>
  </si>
  <si>
    <t>сети км</t>
  </si>
  <si>
    <t>Строительство водозаборного сооружения с водонапорной башней в с. Манюки Новозыбковского района Брянской области</t>
  </si>
  <si>
    <t>скважина</t>
  </si>
  <si>
    <t>Строительство водозаборного сооружения с водонапорной башней в с. Катичи Новозыбковского района Брянской области</t>
  </si>
  <si>
    <t>Строительство водозаборного сооружения с водонапорной башней в пос. Опытная Станция Новозыбковского района Брянской области</t>
  </si>
  <si>
    <t>Строительство водозаборного сооружения с наземной насосной станцией в с. Старые Бобовичи Новозыбковского района Брянской области</t>
  </si>
  <si>
    <t>Стародубский муниципальный район</t>
  </si>
  <si>
    <t>Трубчевский муниципальный район</t>
  </si>
  <si>
    <t>Реконструкция водопровода по ул.Советская пгт Белая Березка Трубчевского района (2 очередь)</t>
  </si>
  <si>
    <t>Кокоревское городское поселение Суземского муниципального района</t>
  </si>
  <si>
    <t>Унечское городское поселение Унечского муниципального района</t>
  </si>
  <si>
    <t>7,0/1/1</t>
  </si>
  <si>
    <t>Подпрограмма "Чистая вода"</t>
  </si>
  <si>
    <t>Осуществление строительства и реконструкции систем водоснабжения для населенных пунктов Брянской области</t>
  </si>
  <si>
    <t>41</t>
  </si>
  <si>
    <t>Софинансирование объектов капитальных вложений муниципальной собственности</t>
  </si>
  <si>
    <t>11270</t>
  </si>
  <si>
    <t>город Сельцо</t>
  </si>
  <si>
    <t>Строительство артезианской скважины в городе Сельцо</t>
  </si>
  <si>
    <t>Брянский муниципальный район</t>
  </si>
  <si>
    <t>Строительство системы водоснабжения в пос. Свень-Транспортная Брянского района</t>
  </si>
  <si>
    <t>Гордеевский муниципальный район</t>
  </si>
  <si>
    <t>Строительство сетей водоснабжения ул. Гагарина в с. Гордеевка Гордеевского района Брянской области</t>
  </si>
  <si>
    <t>Дубровский муниципальный район</t>
  </si>
  <si>
    <t>Строительство сетей водоснабжения по ул. Матросова в п. Сеща Дубровского района Брянской области</t>
  </si>
  <si>
    <t>Дятьковский муниципальный район</t>
  </si>
  <si>
    <t>Строительство системы водоснабжения д. Латышовка Дятьковского района</t>
  </si>
  <si>
    <t>Красногорский муниципальный район</t>
  </si>
  <si>
    <t>Строительство сетей водоснабжения пгт. Красная Гора Красногорского района (3 очередь)</t>
  </si>
  <si>
    <t>Почепский муниципальный район</t>
  </si>
  <si>
    <t>Севский муниципальный район</t>
  </si>
  <si>
    <t>1/1</t>
  </si>
  <si>
    <t>Суражский муниципальный район</t>
  </si>
  <si>
    <t>Строительство сетей водоснабжения по ул.Ленина в д. Нивное Суражского района</t>
  </si>
  <si>
    <t>Выгоничское городское поселение Выгоничского муниципального района</t>
  </si>
  <si>
    <t>Строительство артезианской скважины д. Клинок Выгоничского района Брянской области</t>
  </si>
  <si>
    <t>Карачевское городское поселение Карачевского муниципального района</t>
  </si>
  <si>
    <t>Строительство водонапорной башни в д. Мальтина Карачевского района Брянской области</t>
  </si>
  <si>
    <t>Клетнянское городское поселение Клетнянского муниципального района</t>
  </si>
  <si>
    <t>Строительство водопроводных сетей по ул. Пятницкого п. Клетня Клетнянского района Брянской области</t>
  </si>
  <si>
    <t>Погарское городское поселение Погарского муниципального района</t>
  </si>
  <si>
    <t>Подпрограмма "Строительство и реконструкция очистных сооружений в населенных пунктах Брянской области"</t>
  </si>
  <si>
    <t>Восстановление и развитие эксплуатационно-технического состояния объектов очистки сточных вод в Брянской области</t>
  </si>
  <si>
    <t>Навлинский муниципальный район</t>
  </si>
  <si>
    <t>м3/сут</t>
  </si>
  <si>
    <t>Реконструкция очистных сооружений в п.Рогнедино</t>
  </si>
  <si>
    <t>м3/сутки</t>
  </si>
  <si>
    <t>Почепское городское поселение Почепского муниципального района</t>
  </si>
  <si>
    <t>Строительство очистных сооружений в г. Почеп Почепского района</t>
  </si>
  <si>
    <t>650</t>
  </si>
  <si>
    <t>пос.в смену</t>
  </si>
  <si>
    <t>город Новозыбков</t>
  </si>
  <si>
    <t>Пристройка к школе №3 г.Новозыбков</t>
  </si>
  <si>
    <t>Реконструкция столовой и пищеблока Замишевской СОШ Новозыбковского района</t>
  </si>
  <si>
    <t>300</t>
  </si>
  <si>
    <t>Региональный проект "Содействие занятости женщин - создание условий дошкольного образования для детей в возрасте до трех лет"</t>
  </si>
  <si>
    <t>P2</t>
  </si>
  <si>
    <t>Дошкольное образование</t>
  </si>
  <si>
    <t>Cоздание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областного бюджета</t>
  </si>
  <si>
    <t>18520</t>
  </si>
  <si>
    <t>Иные межбюджетные трансферты</t>
  </si>
  <si>
    <t>540</t>
  </si>
  <si>
    <t>город Брянск</t>
  </si>
  <si>
    <t>Детский сад по ул. Новозыбковской в Фокинском районе г. Брянска</t>
  </si>
  <si>
    <t>135</t>
  </si>
  <si>
    <t>Пристройка для размещения групп раннего возраста к детскому саду №111 "Гнёздышко" в Советском районе г. Брянска</t>
  </si>
  <si>
    <t>55</t>
  </si>
  <si>
    <t>Пристройка для размещения групп раннего возраста к детскому саду № 125 "Чиполлино" в Советском районе г. Брянска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</si>
  <si>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</si>
  <si>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51590</t>
  </si>
  <si>
    <t>Детский сад по ул. Романа Брянского в Советском районе г. Брянска</t>
  </si>
  <si>
    <t>Пристройка для размещения групп раннего возраста к детскому саду № 155 "Светлячок" в Бежицком районе г. Брянска</t>
  </si>
  <si>
    <t>Пристройка для размещения групп раннего возраста к детскому саду № 53 "Зелёный огонёк" в Советском районе г. Брянска</t>
  </si>
  <si>
    <t>Пристройка для размещения групп раннего возраста к детскому саду № 112 "Лисичка" в Володарском районе г. Брянска</t>
  </si>
  <si>
    <t>Пристройка для размещения групп раннего возраста к детскому саду № 129 "Подсолнушек" в Советском районе г. Брянска</t>
  </si>
  <si>
    <t>Пристройка для размещения групп раннего возраста к детскому саду № 158 "Капелька" в Бежицком районе г. Брянска</t>
  </si>
  <si>
    <t>Детский сад в микрорайоне "Мегаполис - парк" п. Путевка Брянского района на 135 мест, из них 80 мест для детей от двух месяцев до трех лет</t>
  </si>
  <si>
    <t>Детский сад на 135 мест, в том числе 80 мест для детей в возрасте от двух месяцев до трех лет в г.Сураже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</si>
  <si>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</si>
  <si>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52320</t>
  </si>
  <si>
    <t>270</t>
  </si>
  <si>
    <t>Строительство автомобильной дороги Подъезд к ферме КРС «Алешня» от автомобильной дороги «Брянск - Смоленск» в Дубровском районе Брянской области</t>
  </si>
  <si>
    <t>1,510</t>
  </si>
  <si>
    <t>Реконструкция автомобильной дороги Гудковский - Левенка на участке км 0+000 - км 0+650 в Стародубском районе Брянской области</t>
  </si>
  <si>
    <t>0,650</t>
  </si>
  <si>
    <t>Водоснабжение н.п. Нетьинка Брянского района Брянской области</t>
  </si>
  <si>
    <t>Климовский муниципальный район</t>
  </si>
  <si>
    <t>Водопроводная сеть по улице Первомайская в н.п.Чуровичи Климовского района Брянской области</t>
  </si>
  <si>
    <t>1,035</t>
  </si>
  <si>
    <t>Водопроводная сеть по улице Комсомольская в н.п. Вишневый Климовского района Брянской области</t>
  </si>
  <si>
    <t>0,747</t>
  </si>
  <si>
    <t>Газификация н.п. Селище Навлинского района (участок №1) Брянской области</t>
  </si>
  <si>
    <t>1,119</t>
  </si>
  <si>
    <t>Погребское сельское поселение Брасовского муниципального района</t>
  </si>
  <si>
    <t>Сельский Дом культуры на 200 мест в п.Погребы Брасовского района</t>
  </si>
  <si>
    <t>Подпрограмма "Реабилитация населения и территории Брянской области, подвергшихся радиационному воздействию вследствие катастрофы на Чернобыльской АЭС"</t>
  </si>
  <si>
    <t>Строительство систем водоснабжения для населенных пунктов Брянской области</t>
  </si>
  <si>
    <t>Злынковский муниципальный район</t>
  </si>
  <si>
    <t>Водозаборные сооружения в г. Злынка (ул. Кирова) Брянской области</t>
  </si>
  <si>
    <t>Климовское городское поселение Климовского муниципального района</t>
  </si>
  <si>
    <t>Реконструкция водоснабжения п.г.т. Климово Климовского района (I очередь строительства)</t>
  </si>
  <si>
    <t>1,104</t>
  </si>
  <si>
    <t>Строительство систем газоснабжения для населенных пунктов Брянской области</t>
  </si>
  <si>
    <t>Карачевский муниципальный район</t>
  </si>
  <si>
    <t>Газификация пос. Воскресенский Карачевского района Брянской области (3-я очередь)</t>
  </si>
  <si>
    <t>0,668</t>
  </si>
  <si>
    <t>Газификация н.п. Глинное Навлинского района Брянской области</t>
  </si>
  <si>
    <t>4,679</t>
  </si>
  <si>
    <t>Газификация н.п. Крапивна Стародубского района Брянской области</t>
  </si>
  <si>
    <t>Унечский муниципальный район</t>
  </si>
  <si>
    <t>Газификация н.п.Пески Унечского района Брянской области</t>
  </si>
  <si>
    <t>2,008</t>
  </si>
  <si>
    <t>Суражское городское поселение Суражского муниципального района</t>
  </si>
  <si>
    <t>Газопровод по ул. Есенина в городе Сураже Брянской области</t>
  </si>
  <si>
    <t>0,684</t>
  </si>
  <si>
    <t>Газопровод по ул. Казачья в городе Сураже Брянской области</t>
  </si>
  <si>
    <t>0,918</t>
  </si>
  <si>
    <t>Строительство водопровода в п. Чайковичи (пл. Халтурина, ул. Халтурина)</t>
  </si>
  <si>
    <t>1,328</t>
  </si>
  <si>
    <t>Строительство водозаборного узла и водопроводной сети в д. Мылинка Карачевского района Брянской области (1 очередь)</t>
  </si>
  <si>
    <t>3,314</t>
  </si>
  <si>
    <t>Строительство водонапорной башни н.п.Лужецкая Карачевского района Брянской области</t>
  </si>
  <si>
    <t>башня</t>
  </si>
  <si>
    <t>Клинцовский муниципальный район</t>
  </si>
  <si>
    <t>Водоснабжение ул. Центральной в н.п. Малая Топаль Клинцовского района Брянской области</t>
  </si>
  <si>
    <t>2,941</t>
  </si>
  <si>
    <t>Водоснабжение н.п. Хвощевка Севского района Брянской области</t>
  </si>
  <si>
    <t>Водозаборное сооружение в н.п. Мишковка Стародубского района Брянской области</t>
  </si>
  <si>
    <t>Водозаборное сооружение в н.п. Камень Стародубского района Брянской области</t>
  </si>
  <si>
    <t>Строительство водопроводной сети по ул. Есенина в городе Сураже Брянской области</t>
  </si>
  <si>
    <t>0,67</t>
  </si>
  <si>
    <t>Строительство водопроводной сети по ул. Казачья в городе Сураже Брянской области</t>
  </si>
  <si>
    <t>1,58</t>
  </si>
  <si>
    <t>Водоснабжение н.п. Синезерки Навлинского района Брянской области (1 очередь строительства)</t>
  </si>
  <si>
    <t>Модернизация объектов коммунальной инфраструктуры</t>
  </si>
  <si>
    <t>Самотечный канализационный коллектор № 5А из железобетонных труб O 1200 в Советском районе г. Брянска. Участок от канализационного колодца у Памятника летчикам, по территории кладбища, складов, предприятий, дачных участков, ул. Спартаковской до ул. Урицкого. Реконструкция</t>
  </si>
  <si>
    <t>пог. м</t>
  </si>
  <si>
    <t>4869</t>
  </si>
  <si>
    <t>Самотечный канализационный коллектор №1 из железобетонных труб O700-900 мм в Бежицком районе г. Брянска. Участок от ул. Дружбы до ГКНС-4</t>
  </si>
  <si>
    <t>4723</t>
  </si>
  <si>
    <t>Самотечный канализационный коллектор №3 из железобетонных труб O800-1200 мм в Бежицком районе г. Брянска. Участок от ул. Почтовой до ГКНС-4</t>
  </si>
  <si>
    <t>Строительство канализационных сетей и канализационного коллектора для очистных сооружений в н.п. Навля</t>
  </si>
  <si>
    <t>Развитие и совершенствование сети автомобильных дорог местного значения общего пользования</t>
  </si>
  <si>
    <t>16160</t>
  </si>
  <si>
    <t>Реконструкция Первомайского моста через р. Десна в Бежицком районе г. Брянска (2 пусковой комплекс)</t>
  </si>
  <si>
    <t>0,88144</t>
  </si>
  <si>
    <t>Реконструкция автодорог по ул. Бежицкой (от ул. Объездной до дома № 280 по ул. Бежицкой), ул. Объездной (от ул. Городищенской до ул. Бежицкой) в Бежицком районе г. Брянска</t>
  </si>
  <si>
    <t>Реконструкция автодорог по ул. Бежицкой (от ул. Объездной до дома № 280 по ул. Бежицкой), ул. Объездной (от ул. Городищенской до ул. Бежицкой) в Бежицком районе г. Брянска (2 этап)</t>
  </si>
  <si>
    <t>0,330</t>
  </si>
  <si>
    <t>Строительство автомобильных дорог в ГУП ОНО ОПХ «Черемушки» в д. Дубровка Брянского района Брянской области (1 этап)</t>
  </si>
  <si>
    <t>6,700</t>
  </si>
  <si>
    <t>Строительство автомобильной дороги по ул. Мглинской в с. Белогорщь Унечского района Брянской области</t>
  </si>
  <si>
    <t>0,627</t>
  </si>
  <si>
    <t>Подпрограмма "Стимулирование развития жилищного строительства в Брянской области"</t>
  </si>
  <si>
    <t>Региональный проект "Жилье"</t>
  </si>
  <si>
    <t>F1</t>
  </si>
  <si>
    <t>Стимулирование программ развития жилищного строительства субъектов Российской Федерации</t>
  </si>
  <si>
    <t>50210</t>
  </si>
  <si>
    <t>Строительство объекта "Автодорога по ул. Советской (от ул.Крахмалева до ул. Объездной) в Советском районе г.Брянска"</t>
  </si>
  <si>
    <t>2,266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</si>
  <si>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</si>
  <si>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20</t>
  </si>
  <si>
    <t>Региональный проект "Современная школа"</t>
  </si>
  <si>
    <t>E1</t>
  </si>
  <si>
    <t>Создание новых мест в общеобразовательных организациях</t>
  </si>
  <si>
    <t>55200</t>
  </si>
  <si>
    <t>Школа на 1225 мест в районе старого аэропорта в Советском районе г. Брянска</t>
  </si>
  <si>
    <t>уч. мест</t>
  </si>
  <si>
    <t>1225</t>
  </si>
  <si>
    <t>Бассейн спорткомплекса в п.г.т. Климово Брянской области</t>
  </si>
  <si>
    <t>Реконструкция муниципального стадиона "Снежеть" в г.Карачеве Брянской области. Первая очередь строительства. Вторая очередь строительства. (достройка)</t>
  </si>
  <si>
    <t>1956</t>
  </si>
  <si>
    <t>Экономическое развитие, инвестиционная политика и инновационная экономика Брянской области</t>
  </si>
  <si>
    <t>40</t>
  </si>
  <si>
    <t>Подпрограмма "Экономическое развитие"</t>
  </si>
  <si>
    <t>Координация социально-экономического развития области, оценка эффективности деятельности органов государственной власти и органов местного самоуправления</t>
  </si>
  <si>
    <t>Социально-экономическое развитие приграничных муниципальных образований</t>
  </si>
  <si>
    <t>18650</t>
  </si>
  <si>
    <t>3,377</t>
  </si>
  <si>
    <t>Погарский муниципальный район</t>
  </si>
  <si>
    <t>Жуковский муниципальный район</t>
  </si>
  <si>
    <t>Дятьковское городское поселение Дятьковского муниципального района</t>
  </si>
  <si>
    <t>Дворец спорта по ул. Гагарина, 8а, г.Новозыбков Брянской области</t>
  </si>
  <si>
    <t>Строительство автомобильной дороги улица Объездная от автомобильной дороги Погар-Новые Ивайтенки до Погарской картофельной фабрики с реконструкцией подъезда к Погарской картофельной фабрике через ул.Строительная пгт Погар Погарского района Брянской области". 1 этап: ул. Объездная без пешеходной дорожки, ул. Строительная</t>
  </si>
  <si>
    <t>А1</t>
  </si>
  <si>
    <t>Нераспределенные средства</t>
  </si>
  <si>
    <t>Строительство артезианской скважины в с. Чемлыж Севского района Брянской области</t>
  </si>
  <si>
    <t>Рогнединское городское поселение Рогнединского муниципального района</t>
  </si>
  <si>
    <t>Cтроительство водозаборного сооружения в д. Волжино Почепского района Брянской области</t>
  </si>
  <si>
    <t>Строительство водозаборного сооружения в д. Житня  Почепского района Брянской области</t>
  </si>
  <si>
    <t>Строительство водонапорной башни и сетей водоснабжения д. Сагутьево Трубчевского района</t>
  </si>
  <si>
    <t>Строительство водозаборного сооружения в с. Андрейковичи Погарского района Брянской области</t>
  </si>
  <si>
    <t>Строительство системы водоснабжения по ул. Ленина в пгт Погар Брянской области (1 очередь)</t>
  </si>
  <si>
    <t>Наименование государственного заказчика; объекта</t>
  </si>
  <si>
    <t xml:space="preserve"> Жилое помещение (квартира 1-комн.), Брасовский район, п. Локоть</t>
  </si>
  <si>
    <t>кв.м.</t>
  </si>
  <si>
    <t xml:space="preserve"> Жилое помещение (квартира 2-комн.), Брасовский район, п. Локоть</t>
  </si>
  <si>
    <t>Жилое помещение (квартира 1-комн.), Брянский район, с.Глинищево</t>
  </si>
  <si>
    <t>Жилое помещение (квартира 2-комн.), Жирятинский район, с.Жирятино</t>
  </si>
  <si>
    <t>Жилое помещение (квартира 2-комн.), Брянский район, с.Глинищево</t>
  </si>
  <si>
    <t>Жилое помещение (квартира 2-комн.), Брянский район, д. Добрунь</t>
  </si>
  <si>
    <t>Жилое помещение (квартира 3-комн.), Жирятинский район, с.Жирятино</t>
  </si>
  <si>
    <t>Жилое помещение (квартира 1-комн.), Дятьковский район, г. Дятьково</t>
  </si>
  <si>
    <t>Жилое помещение (квартира 2-комн.), Дятьковский район, г. Дятьково</t>
  </si>
  <si>
    <t>Жилое помещение (квартира 2-комн.), Злынковский район, г. Злынка</t>
  </si>
  <si>
    <t>Жилое помещение (квартира 2-комн.), Клетнянский район, п. Клетня</t>
  </si>
  <si>
    <t>Жилое помещение (квартира 2-комн.), Климовский район, р.п. Климово</t>
  </si>
  <si>
    <t>Жилое помещение (квартира 3-комн.), Климовский район, р.п. Климово</t>
  </si>
  <si>
    <t>Жилое помещение (квартира 2-комн.), Почепский район, г. Почеп</t>
  </si>
  <si>
    <t xml:space="preserve">Жилое помещение (квартира 2-комн.)                              г. Стародуб </t>
  </si>
  <si>
    <t xml:space="preserve">Жилое помещение (квартира 2-комн.), Суражский район, г. Сураж                             </t>
  </si>
  <si>
    <t>Жилое помещение (квартира 1-комн.), Унечский район, г. Унеча</t>
  </si>
  <si>
    <t>Жилое помещение (квартира 2-комн.), Унечский район, г. Унеча</t>
  </si>
  <si>
    <t xml:space="preserve">Государственный заказчик: Государственное бюджетное учреждение здравоохранения "Фокинская городская больница им. В.И. Гедройц" </t>
  </si>
  <si>
    <t>Жилое помещение (квартира 2-комн.),                   г. Фокино</t>
  </si>
  <si>
    <t>Наименование муниципального образования; объекта</t>
  </si>
  <si>
    <t>Реконструкция здания патологоанатомического корпуса под микробиологическую лабораторию ГАУЗ "Брянская городская больница №1" по адресу: г.Брянск, ул.Камозина, д.11</t>
  </si>
  <si>
    <t>Реконструкция крытого ледового дворца "Десна" по адресу: г. Брянск, ул. Кромская, 48а</t>
  </si>
  <si>
    <t xml:space="preserve">Жилое помещение (квартира 1-комн.)                                          г. Клинцы </t>
  </si>
  <si>
    <t xml:space="preserve">Жилое помещение (квартира 2-комн.)                                          г. Клинцы </t>
  </si>
  <si>
    <t>Жилое помещение (квартира 3-комн.), Унечский район, г. Унеча</t>
  </si>
  <si>
    <t>Жилое помещение (квартира 3-комн.),                   г. Фокино</t>
  </si>
  <si>
    <t>Газификация ФАП н.п.Старый Ропск Климовского района Брянской области</t>
  </si>
  <si>
    <t>Газификация ФАП н.п.Вишневый Климовского района Брянской области</t>
  </si>
  <si>
    <t>Газификация ФАП н.п.Новые Юрковичи Климовского района Брянской области</t>
  </si>
  <si>
    <t>Газификация ФАП н.п.Хоромное Климовского района Брянской области</t>
  </si>
  <si>
    <t>Строительство автомобильной дороги Чаусы - Сопычи в Погарском районе Брянской области</t>
  </si>
  <si>
    <t>Строительство артезианской скважины, водонапорной башни в с. Новоямское Севского района Брянской области</t>
  </si>
  <si>
    <t>Техническое перевооружение котельной по ул. Бежицкая,315А в Бежицком районе г. Брянска (1 этап)</t>
  </si>
  <si>
    <t>Техническое перевооружение котельной по ул. Бежицкая,315А в Бежицком районе г. Брянска (2 и 3 этапы)</t>
  </si>
  <si>
    <t>Жилое помещение (квартира 1-комн.),                          г. Брянск</t>
  </si>
  <si>
    <t>Жилое помещение (квартира 2-комн.),                          г. Брянск</t>
  </si>
  <si>
    <t>Жилое помещение (квартира 3-комн.),                          г. Брянск</t>
  </si>
  <si>
    <t>R1590</t>
  </si>
  <si>
    <t>Создание в субъектах Российской Федерации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</si>
  <si>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R1</t>
  </si>
  <si>
    <t>Региональный проект "Дорожная сеть"</t>
  </si>
  <si>
    <t>Газопровод высокого, низкого давления и ШРП к ул.Большая Деревня н.п.Рябчи Дубровского района Брянской области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</si>
  <si>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</si>
  <si>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Очистные сооружения пгт. Комаричи</t>
  </si>
  <si>
    <t>Реконструкция Литейного моста через реку Десна в Бежицком районе г. Брянска (1 пусковой комплекс)</t>
  </si>
  <si>
    <t>Детский сад в районе старого аэропорта в Советском районе г.Брянска</t>
  </si>
  <si>
    <t>Жилое помещение (квартира 3-комн.), Брянский район, с.Глинищево</t>
  </si>
  <si>
    <t xml:space="preserve">Жилое помещение (квартира 1-комн.), Жуковский район, г. Жуковка </t>
  </si>
  <si>
    <t xml:space="preserve">Жилое помещение (квартира 2-комн.), Жуковский район, г. Жуковка </t>
  </si>
  <si>
    <t xml:space="preserve">Жилое помещение (квартира 1-комн.)                                          г. Новозыбков </t>
  </si>
  <si>
    <t xml:space="preserve">Жилое помещение (квартира 2-комн.)                                          г. Новозыбков </t>
  </si>
  <si>
    <t>Реконструкция котельной № 1 по пер. Д.Емлютина, 1 в п. Навля Навлинского района Брянской области</t>
  </si>
  <si>
    <t>Реконструкция котельной по ул. Бурова 2б в Бежицком районе г. Брянска (2 очередь)</t>
  </si>
  <si>
    <t>сети км/скважина/
станция 2-го подъема</t>
  </si>
  <si>
    <t>Ледовый дворец г. Стародуб Брянской области</t>
  </si>
  <si>
    <t>Дворец спорта г. Почеп Брянской области</t>
  </si>
  <si>
    <t>Город Новозыбков</t>
  </si>
  <si>
    <t>Дворец спорта, г. Дятьково Брянской области</t>
  </si>
  <si>
    <t>Дворец спорта, г. Жуковка Брянской области</t>
  </si>
  <si>
    <t>Город Стародуб</t>
  </si>
  <si>
    <t>Офис врача общей практики в микрорайоне Первомайский г. Сельцо Брянской области</t>
  </si>
  <si>
    <t>Реконструкция  сетей водоснабжения ул. Заводская пос. Погребы Брасовского района Брянской области</t>
  </si>
  <si>
    <t>сети км/скважина/
водонапорная башня/наземная насосная станция</t>
  </si>
  <si>
    <t>4,928/1/1/1</t>
  </si>
  <si>
    <t>скважина/сети км/ водонапорная башня/наземная насосная станция</t>
  </si>
  <si>
    <t>1/0,091/1/1</t>
  </si>
  <si>
    <t>1/0,051/1/1</t>
  </si>
  <si>
    <t>сети км/ скважина/ наземная насосная станция</t>
  </si>
  <si>
    <t>0,065/1/1</t>
  </si>
  <si>
    <t>0,03/1/1</t>
  </si>
  <si>
    <t>скважина/сети км/подземная насосная станция</t>
  </si>
  <si>
    <t>1/0,03/1</t>
  </si>
  <si>
    <t>скважина/наземная насосная станция</t>
  </si>
  <si>
    <t>скважина/сети км/водонапорная башня</t>
  </si>
  <si>
    <t>1/2,28/1</t>
  </si>
  <si>
    <t>2,52/1/1/1</t>
  </si>
  <si>
    <t>сети км/скважина/
подземная насосная станция/
водонапорная башня</t>
  </si>
  <si>
    <t>сети км/скважина/подземная насосная станция/водонапорная башня</t>
  </si>
  <si>
    <t>0,104/1/1/1</t>
  </si>
  <si>
    <t>1,665/1/1/1</t>
  </si>
  <si>
    <t>сети км/скважина/подземная насосная станция</t>
  </si>
  <si>
    <t>0,029/1/1</t>
  </si>
  <si>
    <t>0,092/1/1/1</t>
  </si>
  <si>
    <t>0,305/1/1</t>
  </si>
  <si>
    <t>сети км/водонапорная башня</t>
  </si>
  <si>
    <t>1,529/1</t>
  </si>
  <si>
    <t>водонапорная башня/сети км</t>
  </si>
  <si>
    <t>1/0,494</t>
  </si>
  <si>
    <t>Жилое помещение (квартира 1-комн.),                 г. Клинцы</t>
  </si>
  <si>
    <t>Жилое помещение (квартира 2-комн.),                 г. Клинцы</t>
  </si>
  <si>
    <t xml:space="preserve">Жилое помещение (квартира 3-комн.),              г. Брянск  </t>
  </si>
  <si>
    <t>Административно-морфологический корпус ГБУЗ "Брянское областное бюро судебно-медицинской экспертизы"</t>
  </si>
  <si>
    <t>Строительство автомобильной дороги  - защитной дамбы Брянск 1 – Брянск 2 г.Брянска (1 этап). (ПК 0+00 - ПК 17+00)</t>
  </si>
  <si>
    <t>Пожарное депо на 6 автомашин ПЧ-48 по адресу: Брянская область, Трубчевский район, г. Трубчевск, ул. Володарского, д. 2е</t>
  </si>
  <si>
    <t>Пристройка к хирургическому корпусу с консультативной поликлиникой на 200 посещений и хирургическим блоком на 90 коек ГАУЗ "Брянский областной онкологический диспансер"</t>
  </si>
  <si>
    <t>Фельдшерско-акушерский пункт в н.п. Дмитрово Почепского района Брянской области</t>
  </si>
  <si>
    <t>Здание для мирового судьи судебного участка № 54 Суземского судебного района Брянской области</t>
  </si>
  <si>
    <t>Хирургический корпус ГБУЗ "Брянская областная детская больница" по адресу: г. Брянск, пр. Станке Димитрова, д. 100</t>
  </si>
  <si>
    <t>Офис врача общей практики в п.Толмачево Брянского района Брянской области</t>
  </si>
  <si>
    <t>Строительство системы водоснабжения по ул. 2-я Пятилетка, с. Ардонь, г. Клинцы, Брянской области, 1 очередь строительства</t>
  </si>
  <si>
    <t>Водозаборное сооружение в н.п. Логоватое Стародубского района Брянской области</t>
  </si>
  <si>
    <t>Реконструкция водопроводных сетей в пгт. Кокоревка Суземского района Брянской области</t>
  </si>
  <si>
    <t>Строительство централизованного водоснабжения залинейной части города Унеча Унечского района Брянской области (2-я очередь) 2 этап</t>
  </si>
  <si>
    <t>Государственный заказчик: Государственное бюджетное учреждение здравоохранения "Брянская областная инфекционная больница"</t>
  </si>
  <si>
    <t xml:space="preserve"> Жилое помещение (квартира 1-комн.), Выгоничский район, п. Выгоничи</t>
  </si>
  <si>
    <t xml:space="preserve"> Жилое помещение (квартира 2-комн.), Выгоничский район, п. Выгоничи</t>
  </si>
  <si>
    <t xml:space="preserve"> Жилое помещение (квартира 3-комн.), Выгоничский район, п. Выгоничи</t>
  </si>
  <si>
    <t>Жилое помещение (квартира 2-комн.)                              Суземский район, п. Суземка</t>
  </si>
  <si>
    <t xml:space="preserve">Жилое помещение (квартира 2-комн.), Трубчевский район, г. Трубчевск                </t>
  </si>
  <si>
    <t xml:space="preserve">Жилое помещение (квартира 3-комн.), Трубчевский район, г. Трубчевск                </t>
  </si>
  <si>
    <t>Гкал/ч</t>
  </si>
  <si>
    <t>Квартальная котельная, назначение: нежилое, 1-этажный, общая площадь 141,2 кв.м, инв.№ 5239/01:1000/А, лит. А, адрес объекта: Брянская область, г.Брянск, Советский район, ул. Луначарского, д.42а, кад. № 32:28:0031909:341, с оборудованием, в рабочем состоянии, включая тепловые сети протяженностью 1373,8 м., и иные сети, земельный участок в собственности площадью 1678 кв. м., разрешенное использование: для эксплуатации квартальной котельной с отдельно стоящей трансформаторной подстанцией площадью 48,1 кв. м., с оборудованием, в рабочем состоянии обслуживающая квартальную  котельную.  Установленная мощность - 10,08 Гкал/ч, присоединенная - отопление 5,705 Гкал/ч, ГВС 0,5488 Гкал/ч,/ 1 шт.</t>
  </si>
  <si>
    <t xml:space="preserve">Блочно-модульная котельная (БМК-4, 0 серии "Ока"), назначение: нежилое, 1-этажный, общая площадь 79,4 кв. м, инв. № 16612/02:1000/А, лит. А, адрес объекта: Брянская область, г. Брянск, ул. 22 Съезда КПСС, д. 2А, кад. № 32:28:0014814:16, с оборудованием, в рабочем состоянии, включая тепловые сети протяженностью 315,4 м., канализационные сети протяженностью 93,5 м., распределительный газопровод низкого давления протяженностью 153,8 м., распределительный водопровод протяженностью 189,0 м.; право долгосрочной аренды земельного участка площадью 360 кв. м. сроком до 07.09.2059 года.  Установленная мощность - 3,44 Гкал/ч, присоединенная - отопление 2,0084 Гкал/ч, ГВС 0,7608 Гкал/ч/ 1 шт. </t>
  </si>
  <si>
    <t xml:space="preserve">Квартальная блочно-модульная котельная БМК-8,0, назначение: нежилое, 1-этажный, общая площадь 170 кв.м, инв. № 3791/02, лит.А, адрес объекта: Брянская область, г.Брянск, Бежицкий район, ул. Комсомольская, д.4-Б, кад. № 32:28:0014718:63, с оборудованием, в рабочем состоянии, включая тепловые сети протяженностью 1555,3 м. и иные сети;  право долгосрочной аренды земельного участка площадью 1656 кв. м. сроком до 31.03.2059 года.  Установленная мощность - 6,87 Гкал/ч, присоединенная - отопление 4,6208 Гкал/ч, ГВС 0,4116 Гкал/ч./ 1 шт. </t>
  </si>
  <si>
    <t>Утверждено</t>
  </si>
  <si>
    <t>Освоено</t>
  </si>
  <si>
    <t>Исполнено</t>
  </si>
  <si>
    <t>Процент исполнения</t>
  </si>
  <si>
    <t>Директор департамента</t>
  </si>
  <si>
    <t>Е.Н. Захаренко</t>
  </si>
  <si>
    <t>Исп. Д.А. Бобаков
Тел. 77-01-70 доб. 254</t>
  </si>
  <si>
    <t>Приложение 3</t>
  </si>
  <si>
    <t>Приложение 2</t>
  </si>
  <si>
    <t>Приложение 1</t>
  </si>
  <si>
    <t xml:space="preserve">Государственный заказчик: Государственное бюджетное учреждение здравоохранения "Новозыбковская центральная районная больница" </t>
  </si>
  <si>
    <t xml:space="preserve">Государственный заказчик: Государственное автономное учреждение здравоохранения "Брянская городская больница №1" </t>
  </si>
  <si>
    <t xml:space="preserve">Государственный заказчик: Государственное автономное учреждение здравоохранения "Брянский областной онкологический диспансер" </t>
  </si>
  <si>
    <t xml:space="preserve">Государственный заказчик: Государственное автономное учреждение здравоохранения "Брянская областная больница № 1" </t>
  </si>
  <si>
    <t xml:space="preserve">Государственный заказчик: Государственное бюджетное учреждение здравоохранения "Брянское областное бюро судебно-медицинской экспертизы" </t>
  </si>
  <si>
    <t xml:space="preserve">Государственный заказчик: Государственное автономное учреждение здравоохранения "Брянская городская станция скорой медицинской помощи" </t>
  </si>
  <si>
    <t>Государственный заказчик: Государственное автономное учреждение здравоохранения "Новозыбковская стоматологическая поликлиника"</t>
  </si>
  <si>
    <t xml:space="preserve">Государственный заказчик: Государственное автономное учреждение здравоохранения "Брянская городская поликлиника №4" </t>
  </si>
  <si>
    <t xml:space="preserve">Государственный заказчик: Государственное автономное учреждение здравоохранения "Брянская городская поликлиника №1" </t>
  </si>
  <si>
    <t xml:space="preserve">Государственный заказчик: Государственное бюджетное учреждение здравоохранения "Унечская центральная районная больница" </t>
  </si>
  <si>
    <t xml:space="preserve">Государственный заказчик: Государственное бюджетное учреждение здравоохранения "Трубчевская центральная районная больница" </t>
  </si>
  <si>
    <t xml:space="preserve">Государственный заказчик: Государственное бюджетное учреждение здравоохранения "Суражская центральная районная больница" </t>
  </si>
  <si>
    <t xml:space="preserve">Государственный заказчик: Государственное бюджетное учреждение здравоохранения "Суземская центральная районная больница" </t>
  </si>
  <si>
    <t xml:space="preserve">Государственный заказчик: Государственное бюджетное учреждение здравоохранения "Стародубская центральная районная больница" </t>
  </si>
  <si>
    <t xml:space="preserve">Государственный заказчик: Государственное бюджетное учреждение здравоохранения "Почепская центральная районная больница" </t>
  </si>
  <si>
    <t xml:space="preserve">Государственный заказчик: Государственное бюджетное учреждение здравоохранения "Клинцовская центральная городская больница" </t>
  </si>
  <si>
    <t xml:space="preserve">Государственный заказчик: Государственное бюджетное учреждение здравоохранения "Климовская центральная районная больница" </t>
  </si>
  <si>
    <t xml:space="preserve">Государственный заказчик: Государственное бюджетное учреждение здравоохранения "Клетнянская центральная районная больница" </t>
  </si>
  <si>
    <t xml:space="preserve">Государственный заказчик: Государственное бюджетное учреждение здравоохранения "Злынковская центральная районная больница" </t>
  </si>
  <si>
    <t xml:space="preserve">Государственный заказчик: Государственное бюджетное учреждение здравоохранения "Жуковская  межрайонная  больница" </t>
  </si>
  <si>
    <t xml:space="preserve">Государственный заказчик: Государственное бюджетное учреждение здравоохранения "Дятьковская районная больница им. В.А. Понизова" </t>
  </si>
  <si>
    <t xml:space="preserve">Государственный заказчик: Государственное бюджетное учреждение здравоохранения "Выгоничская центральная районная больница" </t>
  </si>
  <si>
    <t xml:space="preserve">Государственный заказчик: Государственное бюджетное учреждение здравоохранения "Брянская межрайонная больница" </t>
  </si>
  <si>
    <t xml:space="preserve">Государственный заказчик: Государственное бюджетное учреждение здравоохранения "Брянский областной противотуберкулезный диспансер" </t>
  </si>
  <si>
    <t xml:space="preserve">Государственный заказчик: Государственное бюджетное учреждение здравоохранения "Брянский областной наркологический диспансер" </t>
  </si>
  <si>
    <t xml:space="preserve">Государственный заказчик: Государственное бюджетное учреждение здравоохранения "Брянская городская детская больница №1" </t>
  </si>
  <si>
    <t xml:space="preserve">Государственный заказчик: Государственное бюджетное учреждение здравоохранения "Брянская областная детская больница" </t>
  </si>
  <si>
    <t xml:space="preserve">Государственный заказчик: Государственное бюджетное учреждение здравоохранения "Брасовская центральная районная больница" </t>
  </si>
  <si>
    <t>Отчет об исполнении перечня объектов бюджетных инвестиций государственной собственности 
региональной адресной инвестиционной программы за январь - декабрь 2019 года</t>
  </si>
  <si>
    <t>Отчет об исполнении перечня объектов недвижимого имущества 
региональной адресной инвестиционной программы за январь - декабрь 2019 года</t>
  </si>
  <si>
    <t>Отчет об исполнении перечня объектов бюджетных инвестиций муниципальной собственности 
региональной адресной инвестиционной программы за январь - декабрь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</si>
</sst>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_-* #,##0.00&quot;р.&quot;_-;\-* #,##0.00&quot;р.&quot;_-;_-* &quot;-&quot;??&quot;р.&quot;_-;_-@_-"/>
  </numFmts>
  <fonts count="17" x14ac:knownFonts="1">
    <font>
      <sz val="10"/>
      <color rgb="FF000000"/>
      <name val="Times New Roman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24"/>
      <name val="Times New Roman"/>
      <family val="1"/>
      <charset val="204"/>
    </font>
    <font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top" wrapText="1"/>
    </xf>
    <xf numFmtId="166" fontId="4" fillId="0" borderId="0">
      <alignment vertical="top" wrapText="1"/>
    </xf>
  </cellStyleXfs>
  <cellXfs count="94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4" fontId="1" fillId="0" borderId="0" xfId="0" applyNumberFormat="1" applyFont="1" applyFill="1" applyAlignment="1">
      <alignment vertical="top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right" vertical="top"/>
    </xf>
    <xf numFmtId="0" fontId="8" fillId="0" borderId="0" xfId="0" applyFont="1" applyFill="1" applyAlignment="1">
      <alignment vertical="top" wrapText="1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2" fillId="0" borderId="0" xfId="0" applyFont="1" applyFill="1" applyAlignment="1">
      <alignment vertical="top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top" wrapText="1"/>
    </xf>
    <xf numFmtId="0" fontId="12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top" wrapText="1"/>
    </xf>
    <xf numFmtId="0" fontId="13" fillId="0" borderId="2" xfId="0" applyFont="1" applyFill="1" applyBorder="1" applyAlignment="1">
      <alignment vertical="top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vertical="top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10" fontId="10" fillId="0" borderId="3" xfId="0" applyNumberFormat="1" applyFont="1" applyFill="1" applyBorder="1" applyAlignment="1">
      <alignment horizontal="right" vertical="center" wrapText="1"/>
    </xf>
    <xf numFmtId="10" fontId="2" fillId="0" borderId="3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right" vertical="top" wrapText="1"/>
    </xf>
    <xf numFmtId="0" fontId="1" fillId="3" borderId="0" xfId="0" applyFont="1" applyFill="1" applyAlignment="1">
      <alignment vertical="top" wrapText="1"/>
    </xf>
    <xf numFmtId="0" fontId="7" fillId="0" borderId="2" xfId="0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10" fontId="10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1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top" wrapText="1"/>
    </xf>
    <xf numFmtId="49" fontId="1" fillId="0" borderId="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top" wrapText="1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right" vertical="top" wrapText="1"/>
    </xf>
    <xf numFmtId="0" fontId="16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top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00FFFF"/>
      <color rgb="FF99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P235"/>
  <sheetViews>
    <sheetView tabSelected="1" view="pageBreakPreview" zoomScale="90" zoomScaleNormal="80" zoomScaleSheetLayoutView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7" sqref="M7"/>
    </sheetView>
  </sheetViews>
  <sheetFormatPr defaultColWidth="9.33203125" defaultRowHeight="13.2" x14ac:dyDescent="0.25"/>
  <cols>
    <col min="1" max="1" width="45.77734375" style="1" customWidth="1"/>
    <col min="2" max="5" width="8.77734375" style="1" customWidth="1"/>
    <col min="6" max="7" width="6.33203125" style="1" customWidth="1"/>
    <col min="8" max="8" width="8.109375" style="1" bestFit="1" customWidth="1"/>
    <col min="9" max="9" width="9" style="1" customWidth="1"/>
    <col min="10" max="10" width="13" style="1" customWidth="1"/>
    <col min="11" max="11" width="11.6640625" style="1" customWidth="1"/>
    <col min="12" max="12" width="12.33203125" style="1" customWidth="1"/>
    <col min="13" max="15" width="21.6640625" style="1" customWidth="1"/>
    <col min="16" max="16" width="17.6640625" style="1" customWidth="1"/>
    <col min="17" max="16384" width="9.33203125" style="1"/>
  </cols>
  <sheetData>
    <row r="1" spans="1:16" ht="21" x14ac:dyDescent="0.25">
      <c r="O1" s="88" t="s">
        <v>593</v>
      </c>
      <c r="P1" s="88"/>
    </row>
    <row r="2" spans="1:16" ht="42" customHeight="1" x14ac:dyDescent="0.25">
      <c r="A2" s="90" t="s">
        <v>622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16" ht="15" customHeight="1" x14ac:dyDescent="0.25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6" ht="31.2" x14ac:dyDescent="0.25">
      <c r="A4" s="60" t="s">
        <v>467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6" t="s">
        <v>10</v>
      </c>
      <c r="K4" s="6" t="s">
        <v>11</v>
      </c>
      <c r="L4" s="6" t="s">
        <v>12</v>
      </c>
      <c r="M4" s="5" t="s">
        <v>584</v>
      </c>
      <c r="N4" s="5" t="s">
        <v>585</v>
      </c>
      <c r="O4" s="5" t="s">
        <v>586</v>
      </c>
      <c r="P4" s="5" t="s">
        <v>587</v>
      </c>
    </row>
    <row r="5" spans="1:16" ht="14.4" customHeight="1" x14ac:dyDescent="0.25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  <c r="M5" s="5" t="s">
        <v>25</v>
      </c>
      <c r="N5" s="5">
        <v>14</v>
      </c>
      <c r="O5" s="5">
        <v>15</v>
      </c>
      <c r="P5" s="5">
        <v>16</v>
      </c>
    </row>
    <row r="6" spans="1:16" ht="15" customHeight="1" x14ac:dyDescent="0.25">
      <c r="A6" s="37" t="s">
        <v>26</v>
      </c>
      <c r="B6" s="32" t="s">
        <v>0</v>
      </c>
      <c r="C6" s="32" t="s">
        <v>0</v>
      </c>
      <c r="D6" s="32" t="s">
        <v>0</v>
      </c>
      <c r="E6" s="32" t="s">
        <v>0</v>
      </c>
      <c r="F6" s="32" t="s">
        <v>0</v>
      </c>
      <c r="G6" s="32" t="s">
        <v>0</v>
      </c>
      <c r="H6" s="38" t="s">
        <v>0</v>
      </c>
      <c r="I6" s="38" t="s">
        <v>0</v>
      </c>
      <c r="J6" s="38" t="s">
        <v>0</v>
      </c>
      <c r="K6" s="38" t="s">
        <v>0</v>
      </c>
      <c r="L6" s="38" t="s">
        <v>0</v>
      </c>
      <c r="M6" s="61">
        <f>M7+M16+M31+M67+M96+M113+M130+M180+M208+M216</f>
        <v>2621218811.6099997</v>
      </c>
      <c r="N6" s="61">
        <f t="shared" ref="N6:O6" si="0">N7+N16+N31+N67+N96+N113+N130+N180+N208+N216</f>
        <v>2172647996.71</v>
      </c>
      <c r="O6" s="61">
        <f t="shared" si="0"/>
        <v>2262855697.1500001</v>
      </c>
      <c r="P6" s="62">
        <f>O6/M6</f>
        <v>0.86328378505727021</v>
      </c>
    </row>
    <row r="7" spans="1:16" ht="124.8" x14ac:dyDescent="0.25">
      <c r="A7" s="37" t="s">
        <v>27</v>
      </c>
      <c r="B7" s="32" t="s">
        <v>28</v>
      </c>
      <c r="C7" s="32" t="s">
        <v>0</v>
      </c>
      <c r="D7" s="32" t="s">
        <v>0</v>
      </c>
      <c r="E7" s="32" t="s">
        <v>0</v>
      </c>
      <c r="F7" s="32" t="s">
        <v>0</v>
      </c>
      <c r="G7" s="32"/>
      <c r="H7" s="38" t="s">
        <v>0</v>
      </c>
      <c r="I7" s="38" t="s">
        <v>0</v>
      </c>
      <c r="J7" s="38" t="s">
        <v>0</v>
      </c>
      <c r="K7" s="38" t="s">
        <v>0</v>
      </c>
      <c r="L7" s="38" t="s">
        <v>0</v>
      </c>
      <c r="M7" s="61">
        <f t="shared" ref="M7:O14" si="1">M8</f>
        <v>331345.08999999997</v>
      </c>
      <c r="N7" s="61">
        <f t="shared" si="1"/>
        <v>331345.08999999997</v>
      </c>
      <c r="O7" s="61">
        <f t="shared" si="1"/>
        <v>331345.08999999997</v>
      </c>
      <c r="P7" s="62">
        <f t="shared" ref="P7:P70" si="2">O7/M7</f>
        <v>1</v>
      </c>
    </row>
    <row r="8" spans="1:16" ht="109.2" x14ac:dyDescent="0.25">
      <c r="A8" s="37" t="s">
        <v>29</v>
      </c>
      <c r="B8" s="32" t="s">
        <v>28</v>
      </c>
      <c r="C8" s="32" t="s">
        <v>30</v>
      </c>
      <c r="D8" s="32" t="s">
        <v>24</v>
      </c>
      <c r="E8" s="32" t="s">
        <v>0</v>
      </c>
      <c r="F8" s="32" t="s">
        <v>0</v>
      </c>
      <c r="G8" s="32" t="s">
        <v>0</v>
      </c>
      <c r="H8" s="38" t="s">
        <v>0</v>
      </c>
      <c r="I8" s="38" t="s">
        <v>0</v>
      </c>
      <c r="J8" s="38" t="s">
        <v>0</v>
      </c>
      <c r="K8" s="38" t="s">
        <v>0</v>
      </c>
      <c r="L8" s="38" t="s">
        <v>0</v>
      </c>
      <c r="M8" s="61">
        <f t="shared" si="1"/>
        <v>331345.08999999997</v>
      </c>
      <c r="N8" s="61">
        <f t="shared" si="1"/>
        <v>331345.08999999997</v>
      </c>
      <c r="O8" s="61">
        <f t="shared" si="1"/>
        <v>331345.08999999997</v>
      </c>
      <c r="P8" s="62">
        <f t="shared" si="2"/>
        <v>1</v>
      </c>
    </row>
    <row r="9" spans="1:16" ht="39.75" customHeight="1" x14ac:dyDescent="0.25">
      <c r="A9" s="37" t="s">
        <v>31</v>
      </c>
      <c r="B9" s="32" t="s">
        <v>28</v>
      </c>
      <c r="C9" s="32" t="s">
        <v>30</v>
      </c>
      <c r="D9" s="32" t="s">
        <v>24</v>
      </c>
      <c r="E9" s="32" t="s">
        <v>32</v>
      </c>
      <c r="F9" s="32" t="s">
        <v>0</v>
      </c>
      <c r="G9" s="32" t="s">
        <v>0</v>
      </c>
      <c r="H9" s="38" t="s">
        <v>0</v>
      </c>
      <c r="I9" s="38" t="s">
        <v>0</v>
      </c>
      <c r="J9" s="38" t="s">
        <v>0</v>
      </c>
      <c r="K9" s="38" t="s">
        <v>0</v>
      </c>
      <c r="L9" s="38" t="s">
        <v>0</v>
      </c>
      <c r="M9" s="61">
        <f t="shared" si="1"/>
        <v>331345.08999999997</v>
      </c>
      <c r="N9" s="61">
        <f t="shared" si="1"/>
        <v>331345.08999999997</v>
      </c>
      <c r="O9" s="61">
        <f t="shared" si="1"/>
        <v>331345.08999999997</v>
      </c>
      <c r="P9" s="62">
        <f t="shared" si="2"/>
        <v>1</v>
      </c>
    </row>
    <row r="10" spans="1:16" ht="86.25" customHeight="1" x14ac:dyDescent="0.25">
      <c r="A10" s="37" t="s">
        <v>33</v>
      </c>
      <c r="B10" s="32" t="s">
        <v>28</v>
      </c>
      <c r="C10" s="32" t="s">
        <v>30</v>
      </c>
      <c r="D10" s="32" t="s">
        <v>24</v>
      </c>
      <c r="E10" s="32" t="s">
        <v>32</v>
      </c>
      <c r="F10" s="32" t="s">
        <v>0</v>
      </c>
      <c r="G10" s="32" t="s">
        <v>0</v>
      </c>
      <c r="H10" s="38" t="s">
        <v>0</v>
      </c>
      <c r="I10" s="38" t="s">
        <v>0</v>
      </c>
      <c r="J10" s="38" t="s">
        <v>0</v>
      </c>
      <c r="K10" s="38" t="s">
        <v>0</v>
      </c>
      <c r="L10" s="38" t="s">
        <v>0</v>
      </c>
      <c r="M10" s="61">
        <f t="shared" si="1"/>
        <v>331345.08999999997</v>
      </c>
      <c r="N10" s="61">
        <f t="shared" si="1"/>
        <v>331345.08999999997</v>
      </c>
      <c r="O10" s="61">
        <f t="shared" si="1"/>
        <v>331345.08999999997</v>
      </c>
      <c r="P10" s="62">
        <f t="shared" si="2"/>
        <v>1</v>
      </c>
    </row>
    <row r="11" spans="1:16" ht="40.5" customHeight="1" x14ac:dyDescent="0.25">
      <c r="A11" s="36" t="s">
        <v>34</v>
      </c>
      <c r="B11" s="32" t="s">
        <v>28</v>
      </c>
      <c r="C11" s="32" t="s">
        <v>30</v>
      </c>
      <c r="D11" s="32" t="s">
        <v>24</v>
      </c>
      <c r="E11" s="32" t="s">
        <v>32</v>
      </c>
      <c r="F11" s="32" t="s">
        <v>35</v>
      </c>
      <c r="G11" s="32" t="s">
        <v>0</v>
      </c>
      <c r="H11" s="32" t="s">
        <v>0</v>
      </c>
      <c r="I11" s="32" t="s">
        <v>0</v>
      </c>
      <c r="J11" s="32" t="s">
        <v>0</v>
      </c>
      <c r="K11" s="32" t="s">
        <v>0</v>
      </c>
      <c r="L11" s="32" t="s">
        <v>0</v>
      </c>
      <c r="M11" s="61">
        <f t="shared" si="1"/>
        <v>331345.08999999997</v>
      </c>
      <c r="N11" s="61">
        <f t="shared" si="1"/>
        <v>331345.08999999997</v>
      </c>
      <c r="O11" s="61">
        <f t="shared" si="1"/>
        <v>331345.08999999997</v>
      </c>
      <c r="P11" s="62">
        <f t="shared" si="2"/>
        <v>1</v>
      </c>
    </row>
    <row r="12" spans="1:16" ht="15" customHeight="1" x14ac:dyDescent="0.25">
      <c r="A12" s="36" t="s">
        <v>36</v>
      </c>
      <c r="B12" s="32" t="s">
        <v>28</v>
      </c>
      <c r="C12" s="32" t="s">
        <v>30</v>
      </c>
      <c r="D12" s="32" t="s">
        <v>24</v>
      </c>
      <c r="E12" s="32" t="s">
        <v>32</v>
      </c>
      <c r="F12" s="32" t="s">
        <v>35</v>
      </c>
      <c r="G12" s="32" t="s">
        <v>22</v>
      </c>
      <c r="H12" s="32" t="s">
        <v>0</v>
      </c>
      <c r="I12" s="32" t="s">
        <v>0</v>
      </c>
      <c r="J12" s="32" t="s">
        <v>0</v>
      </c>
      <c r="K12" s="32" t="s">
        <v>0</v>
      </c>
      <c r="L12" s="32" t="s">
        <v>0</v>
      </c>
      <c r="M12" s="61">
        <f t="shared" si="1"/>
        <v>331345.08999999997</v>
      </c>
      <c r="N12" s="61">
        <f t="shared" si="1"/>
        <v>331345.08999999997</v>
      </c>
      <c r="O12" s="61">
        <f t="shared" si="1"/>
        <v>331345.08999999997</v>
      </c>
      <c r="P12" s="62">
        <f t="shared" si="2"/>
        <v>1</v>
      </c>
    </row>
    <row r="13" spans="1:16" ht="57" customHeight="1" x14ac:dyDescent="0.25">
      <c r="A13" s="37" t="s">
        <v>37</v>
      </c>
      <c r="B13" s="32" t="s">
        <v>28</v>
      </c>
      <c r="C13" s="32" t="s">
        <v>30</v>
      </c>
      <c r="D13" s="32" t="s">
        <v>24</v>
      </c>
      <c r="E13" s="32" t="s">
        <v>32</v>
      </c>
      <c r="F13" s="32" t="s">
        <v>35</v>
      </c>
      <c r="G13" s="32" t="s">
        <v>22</v>
      </c>
      <c r="H13" s="32" t="s">
        <v>38</v>
      </c>
      <c r="I13" s="38" t="s">
        <v>0</v>
      </c>
      <c r="J13" s="38" t="s">
        <v>0</v>
      </c>
      <c r="K13" s="38" t="s">
        <v>0</v>
      </c>
      <c r="L13" s="38" t="s">
        <v>0</v>
      </c>
      <c r="M13" s="61">
        <f t="shared" si="1"/>
        <v>331345.08999999997</v>
      </c>
      <c r="N13" s="61">
        <f t="shared" si="1"/>
        <v>331345.08999999997</v>
      </c>
      <c r="O13" s="61">
        <f t="shared" si="1"/>
        <v>331345.08999999997</v>
      </c>
      <c r="P13" s="62">
        <f t="shared" si="2"/>
        <v>1</v>
      </c>
    </row>
    <row r="14" spans="1:16" ht="71.25" customHeight="1" x14ac:dyDescent="0.25">
      <c r="A14" s="37" t="s">
        <v>39</v>
      </c>
      <c r="B14" s="32" t="s">
        <v>28</v>
      </c>
      <c r="C14" s="32" t="s">
        <v>30</v>
      </c>
      <c r="D14" s="32" t="s">
        <v>24</v>
      </c>
      <c r="E14" s="32" t="s">
        <v>32</v>
      </c>
      <c r="F14" s="32" t="s">
        <v>35</v>
      </c>
      <c r="G14" s="32" t="s">
        <v>22</v>
      </c>
      <c r="H14" s="32" t="s">
        <v>38</v>
      </c>
      <c r="I14" s="32" t="s">
        <v>40</v>
      </c>
      <c r="J14" s="32" t="s">
        <v>0</v>
      </c>
      <c r="K14" s="32" t="s">
        <v>0</v>
      </c>
      <c r="L14" s="32" t="s">
        <v>0</v>
      </c>
      <c r="M14" s="61">
        <f t="shared" si="1"/>
        <v>331345.08999999997</v>
      </c>
      <c r="N14" s="61">
        <f t="shared" si="1"/>
        <v>331345.08999999997</v>
      </c>
      <c r="O14" s="61">
        <f t="shared" si="1"/>
        <v>331345.08999999997</v>
      </c>
      <c r="P14" s="62">
        <f t="shared" si="2"/>
        <v>1</v>
      </c>
    </row>
    <row r="15" spans="1:16" ht="76.5" customHeight="1" x14ac:dyDescent="0.25">
      <c r="A15" s="4" t="s">
        <v>563</v>
      </c>
      <c r="B15" s="5" t="s">
        <v>28</v>
      </c>
      <c r="C15" s="5" t="s">
        <v>30</v>
      </c>
      <c r="D15" s="5" t="s">
        <v>24</v>
      </c>
      <c r="E15" s="5" t="s">
        <v>32</v>
      </c>
      <c r="F15" s="5" t="s">
        <v>35</v>
      </c>
      <c r="G15" s="5" t="s">
        <v>22</v>
      </c>
      <c r="H15" s="5" t="s">
        <v>38</v>
      </c>
      <c r="I15" s="5" t="s">
        <v>40</v>
      </c>
      <c r="J15" s="6"/>
      <c r="K15" s="6"/>
      <c r="L15" s="6">
        <v>2019</v>
      </c>
      <c r="M15" s="63">
        <v>331345.08999999997</v>
      </c>
      <c r="N15" s="63">
        <v>331345.08999999997</v>
      </c>
      <c r="O15" s="63">
        <v>331345.08999999997</v>
      </c>
      <c r="P15" s="64">
        <f t="shared" si="2"/>
        <v>1</v>
      </c>
    </row>
    <row r="16" spans="1:16" ht="75" customHeight="1" x14ac:dyDescent="0.25">
      <c r="A16" s="37" t="s">
        <v>42</v>
      </c>
      <c r="B16" s="32" t="s">
        <v>24</v>
      </c>
      <c r="C16" s="32" t="s">
        <v>0</v>
      </c>
      <c r="D16" s="32" t="s">
        <v>0</v>
      </c>
      <c r="E16" s="32" t="s">
        <v>0</v>
      </c>
      <c r="F16" s="32" t="s">
        <v>0</v>
      </c>
      <c r="G16" s="32" t="s">
        <v>0</v>
      </c>
      <c r="H16" s="38" t="s">
        <v>0</v>
      </c>
      <c r="I16" s="38" t="s">
        <v>0</v>
      </c>
      <c r="J16" s="38" t="s">
        <v>0</v>
      </c>
      <c r="K16" s="38" t="s">
        <v>0</v>
      </c>
      <c r="L16" s="38" t="s">
        <v>0</v>
      </c>
      <c r="M16" s="61">
        <f t="shared" ref="M16:O22" si="3">M17</f>
        <v>148600636.36000001</v>
      </c>
      <c r="N16" s="61">
        <f t="shared" si="3"/>
        <v>124591182.75</v>
      </c>
      <c r="O16" s="61">
        <f t="shared" si="3"/>
        <v>142747815.47000003</v>
      </c>
      <c r="P16" s="62">
        <f t="shared" si="2"/>
        <v>0.96061375621689171</v>
      </c>
    </row>
    <row r="17" spans="1:16" ht="73.5" customHeight="1" x14ac:dyDescent="0.25">
      <c r="A17" s="37" t="s">
        <v>43</v>
      </c>
      <c r="B17" s="32" t="s">
        <v>24</v>
      </c>
      <c r="C17" s="32" t="s">
        <v>30</v>
      </c>
      <c r="D17" s="32" t="s">
        <v>24</v>
      </c>
      <c r="E17" s="32" t="s">
        <v>0</v>
      </c>
      <c r="F17" s="32" t="s">
        <v>0</v>
      </c>
      <c r="G17" s="32" t="s">
        <v>0</v>
      </c>
      <c r="H17" s="38" t="s">
        <v>0</v>
      </c>
      <c r="I17" s="38" t="s">
        <v>0</v>
      </c>
      <c r="J17" s="38" t="s">
        <v>0</v>
      </c>
      <c r="K17" s="38" t="s">
        <v>0</v>
      </c>
      <c r="L17" s="38" t="s">
        <v>0</v>
      </c>
      <c r="M17" s="61">
        <f t="shared" si="3"/>
        <v>148600636.36000001</v>
      </c>
      <c r="N17" s="61">
        <f t="shared" si="3"/>
        <v>124591182.75</v>
      </c>
      <c r="O17" s="61">
        <f t="shared" si="3"/>
        <v>142747815.47000003</v>
      </c>
      <c r="P17" s="62">
        <f t="shared" si="2"/>
        <v>0.96061375621689171</v>
      </c>
    </row>
    <row r="18" spans="1:16" ht="71.25" customHeight="1" x14ac:dyDescent="0.25">
      <c r="A18" s="37" t="s">
        <v>44</v>
      </c>
      <c r="B18" s="32" t="s">
        <v>24</v>
      </c>
      <c r="C18" s="32" t="s">
        <v>30</v>
      </c>
      <c r="D18" s="32" t="s">
        <v>24</v>
      </c>
      <c r="E18" s="32" t="s">
        <v>45</v>
      </c>
      <c r="F18" s="32" t="s">
        <v>0</v>
      </c>
      <c r="G18" s="32" t="s">
        <v>0</v>
      </c>
      <c r="H18" s="38" t="s">
        <v>0</v>
      </c>
      <c r="I18" s="38" t="s">
        <v>0</v>
      </c>
      <c r="J18" s="38" t="s">
        <v>0</v>
      </c>
      <c r="K18" s="38" t="s">
        <v>0</v>
      </c>
      <c r="L18" s="38" t="s">
        <v>0</v>
      </c>
      <c r="M18" s="61">
        <f t="shared" si="3"/>
        <v>148600636.36000001</v>
      </c>
      <c r="N18" s="61">
        <f t="shared" si="3"/>
        <v>124591182.75</v>
      </c>
      <c r="O18" s="61">
        <f t="shared" si="3"/>
        <v>142747815.47000003</v>
      </c>
      <c r="P18" s="62">
        <f t="shared" si="2"/>
        <v>0.96061375621689171</v>
      </c>
    </row>
    <row r="19" spans="1:16" ht="76.5" customHeight="1" x14ac:dyDescent="0.25">
      <c r="A19" s="37" t="s">
        <v>46</v>
      </c>
      <c r="B19" s="32" t="s">
        <v>24</v>
      </c>
      <c r="C19" s="32" t="s">
        <v>30</v>
      </c>
      <c r="D19" s="32" t="s">
        <v>24</v>
      </c>
      <c r="E19" s="32" t="s">
        <v>45</v>
      </c>
      <c r="F19" s="32" t="s">
        <v>0</v>
      </c>
      <c r="G19" s="32" t="s">
        <v>0</v>
      </c>
      <c r="H19" s="38" t="s">
        <v>0</v>
      </c>
      <c r="I19" s="38" t="s">
        <v>0</v>
      </c>
      <c r="J19" s="38" t="s">
        <v>0</v>
      </c>
      <c r="K19" s="38" t="s">
        <v>0</v>
      </c>
      <c r="L19" s="38" t="s">
        <v>0</v>
      </c>
      <c r="M19" s="61">
        <f t="shared" si="3"/>
        <v>148600636.36000001</v>
      </c>
      <c r="N19" s="61">
        <f t="shared" si="3"/>
        <v>124591182.75</v>
      </c>
      <c r="O19" s="61">
        <f t="shared" si="3"/>
        <v>142747815.47000003</v>
      </c>
      <c r="P19" s="62">
        <f t="shared" si="2"/>
        <v>0.96061375621689171</v>
      </c>
    </row>
    <row r="20" spans="1:16" ht="15" customHeight="1" x14ac:dyDescent="0.25">
      <c r="A20" s="36" t="s">
        <v>47</v>
      </c>
      <c r="B20" s="32" t="s">
        <v>24</v>
      </c>
      <c r="C20" s="32" t="s">
        <v>30</v>
      </c>
      <c r="D20" s="32" t="s">
        <v>24</v>
      </c>
      <c r="E20" s="32" t="s">
        <v>45</v>
      </c>
      <c r="F20" s="32" t="s">
        <v>48</v>
      </c>
      <c r="G20" s="32" t="s">
        <v>0</v>
      </c>
      <c r="H20" s="32" t="s">
        <v>0</v>
      </c>
      <c r="I20" s="32" t="s">
        <v>0</v>
      </c>
      <c r="J20" s="32" t="s">
        <v>0</v>
      </c>
      <c r="K20" s="32" t="s">
        <v>0</v>
      </c>
      <c r="L20" s="32" t="s">
        <v>0</v>
      </c>
      <c r="M20" s="61">
        <f t="shared" si="3"/>
        <v>148600636.36000001</v>
      </c>
      <c r="N20" s="61">
        <f t="shared" si="3"/>
        <v>124591182.75</v>
      </c>
      <c r="O20" s="61">
        <f t="shared" si="3"/>
        <v>142747815.47000003</v>
      </c>
      <c r="P20" s="62">
        <f t="shared" si="2"/>
        <v>0.96061375621689171</v>
      </c>
    </row>
    <row r="21" spans="1:16" ht="15" customHeight="1" x14ac:dyDescent="0.25">
      <c r="A21" s="36" t="s">
        <v>49</v>
      </c>
      <c r="B21" s="32" t="s">
        <v>24</v>
      </c>
      <c r="C21" s="32" t="s">
        <v>30</v>
      </c>
      <c r="D21" s="32" t="s">
        <v>24</v>
      </c>
      <c r="E21" s="32" t="s">
        <v>45</v>
      </c>
      <c r="F21" s="32" t="s">
        <v>48</v>
      </c>
      <c r="G21" s="32" t="s">
        <v>28</v>
      </c>
      <c r="H21" s="32" t="s">
        <v>0</v>
      </c>
      <c r="I21" s="32" t="s">
        <v>0</v>
      </c>
      <c r="J21" s="32" t="s">
        <v>0</v>
      </c>
      <c r="K21" s="32" t="s">
        <v>0</v>
      </c>
      <c r="L21" s="32" t="s">
        <v>0</v>
      </c>
      <c r="M21" s="61">
        <f t="shared" si="3"/>
        <v>148600636.36000001</v>
      </c>
      <c r="N21" s="61">
        <f t="shared" si="3"/>
        <v>124591182.75</v>
      </c>
      <c r="O21" s="61">
        <f t="shared" si="3"/>
        <v>142747815.47000003</v>
      </c>
      <c r="P21" s="62">
        <f t="shared" si="2"/>
        <v>0.96061375621689171</v>
      </c>
    </row>
    <row r="22" spans="1:16" ht="57" customHeight="1" x14ac:dyDescent="0.25">
      <c r="A22" s="37" t="s">
        <v>37</v>
      </c>
      <c r="B22" s="32" t="s">
        <v>24</v>
      </c>
      <c r="C22" s="32" t="s">
        <v>30</v>
      </c>
      <c r="D22" s="32" t="s">
        <v>24</v>
      </c>
      <c r="E22" s="32" t="s">
        <v>45</v>
      </c>
      <c r="F22" s="32" t="s">
        <v>48</v>
      </c>
      <c r="G22" s="32" t="s">
        <v>28</v>
      </c>
      <c r="H22" s="32" t="s">
        <v>38</v>
      </c>
      <c r="I22" s="38" t="s">
        <v>0</v>
      </c>
      <c r="J22" s="38" t="s">
        <v>0</v>
      </c>
      <c r="K22" s="38" t="s">
        <v>0</v>
      </c>
      <c r="L22" s="38" t="s">
        <v>0</v>
      </c>
      <c r="M22" s="61">
        <f t="shared" si="3"/>
        <v>148600636.36000001</v>
      </c>
      <c r="N22" s="61">
        <f t="shared" si="3"/>
        <v>124591182.75</v>
      </c>
      <c r="O22" s="61">
        <f t="shared" si="3"/>
        <v>142747815.47000003</v>
      </c>
      <c r="P22" s="62">
        <f t="shared" si="2"/>
        <v>0.96061375621689171</v>
      </c>
    </row>
    <row r="23" spans="1:16" ht="117.75" customHeight="1" x14ac:dyDescent="0.25">
      <c r="A23" s="37" t="s">
        <v>50</v>
      </c>
      <c r="B23" s="32" t="s">
        <v>24</v>
      </c>
      <c r="C23" s="32" t="s">
        <v>30</v>
      </c>
      <c r="D23" s="32" t="s">
        <v>24</v>
      </c>
      <c r="E23" s="32" t="s">
        <v>45</v>
      </c>
      <c r="F23" s="32" t="s">
        <v>48</v>
      </c>
      <c r="G23" s="32" t="s">
        <v>28</v>
      </c>
      <c r="H23" s="32" t="s">
        <v>38</v>
      </c>
      <c r="I23" s="32" t="s">
        <v>51</v>
      </c>
      <c r="J23" s="32" t="s">
        <v>0</v>
      </c>
      <c r="K23" s="32" t="s">
        <v>0</v>
      </c>
      <c r="L23" s="32" t="s">
        <v>0</v>
      </c>
      <c r="M23" s="61">
        <f>M24+M25+M26+M27+M28+M29+M30</f>
        <v>148600636.36000001</v>
      </c>
      <c r="N23" s="61">
        <f t="shared" ref="N23:O23" si="4">N24+N25+N26+N27+N28+N29+N30</f>
        <v>124591182.75</v>
      </c>
      <c r="O23" s="61">
        <f t="shared" si="4"/>
        <v>142747815.47000003</v>
      </c>
      <c r="P23" s="62">
        <f t="shared" si="2"/>
        <v>0.96061375621689171</v>
      </c>
    </row>
    <row r="24" spans="1:16" ht="46.8" x14ac:dyDescent="0.25">
      <c r="A24" s="4" t="s">
        <v>55</v>
      </c>
      <c r="B24" s="5" t="s">
        <v>24</v>
      </c>
      <c r="C24" s="5" t="s">
        <v>30</v>
      </c>
      <c r="D24" s="5" t="s">
        <v>24</v>
      </c>
      <c r="E24" s="5" t="s">
        <v>45</v>
      </c>
      <c r="F24" s="5" t="s">
        <v>48</v>
      </c>
      <c r="G24" s="5" t="s">
        <v>28</v>
      </c>
      <c r="H24" s="5" t="s">
        <v>38</v>
      </c>
      <c r="I24" s="5" t="s">
        <v>51</v>
      </c>
      <c r="J24" s="6" t="s">
        <v>52</v>
      </c>
      <c r="K24" s="6">
        <v>4.5999999999999996</v>
      </c>
      <c r="L24" s="6" t="s">
        <v>53</v>
      </c>
      <c r="M24" s="63">
        <v>19678416.289999999</v>
      </c>
      <c r="N24" s="63">
        <v>18183970.579999998</v>
      </c>
      <c r="O24" s="63">
        <v>18183970.579999998</v>
      </c>
      <c r="P24" s="64">
        <f t="shared" si="2"/>
        <v>0.92405660658985878</v>
      </c>
    </row>
    <row r="25" spans="1:16" ht="46.8" hidden="1" x14ac:dyDescent="0.25">
      <c r="A25" s="4" t="s">
        <v>56</v>
      </c>
      <c r="B25" s="5" t="s">
        <v>24</v>
      </c>
      <c r="C25" s="5" t="s">
        <v>30</v>
      </c>
      <c r="D25" s="5" t="s">
        <v>24</v>
      </c>
      <c r="E25" s="5" t="s">
        <v>45</v>
      </c>
      <c r="F25" s="5" t="s">
        <v>48</v>
      </c>
      <c r="G25" s="5" t="s">
        <v>28</v>
      </c>
      <c r="H25" s="5" t="s">
        <v>38</v>
      </c>
      <c r="I25" s="5" t="s">
        <v>51</v>
      </c>
      <c r="J25" s="6" t="s">
        <v>54</v>
      </c>
      <c r="K25" s="6" t="s">
        <v>57</v>
      </c>
      <c r="L25" s="6" t="s">
        <v>53</v>
      </c>
      <c r="M25" s="65">
        <v>0</v>
      </c>
      <c r="N25" s="65"/>
      <c r="O25" s="65"/>
      <c r="P25" s="64" t="e">
        <f t="shared" si="2"/>
        <v>#DIV/0!</v>
      </c>
    </row>
    <row r="26" spans="1:16" ht="46.8" hidden="1" x14ac:dyDescent="0.25">
      <c r="A26" s="4" t="s">
        <v>58</v>
      </c>
      <c r="B26" s="5" t="s">
        <v>24</v>
      </c>
      <c r="C26" s="5" t="s">
        <v>30</v>
      </c>
      <c r="D26" s="5" t="s">
        <v>24</v>
      </c>
      <c r="E26" s="5" t="s">
        <v>45</v>
      </c>
      <c r="F26" s="5" t="s">
        <v>48</v>
      </c>
      <c r="G26" s="5" t="s">
        <v>28</v>
      </c>
      <c r="H26" s="5" t="s">
        <v>38</v>
      </c>
      <c r="I26" s="5" t="s">
        <v>51</v>
      </c>
      <c r="J26" s="6" t="s">
        <v>54</v>
      </c>
      <c r="K26" s="6" t="s">
        <v>59</v>
      </c>
      <c r="L26" s="6" t="s">
        <v>53</v>
      </c>
      <c r="M26" s="65">
        <v>0</v>
      </c>
      <c r="N26" s="65"/>
      <c r="O26" s="65"/>
      <c r="P26" s="64" t="e">
        <f t="shared" si="2"/>
        <v>#DIV/0!</v>
      </c>
    </row>
    <row r="27" spans="1:16" ht="46.8" x14ac:dyDescent="0.25">
      <c r="A27" s="4" t="s">
        <v>521</v>
      </c>
      <c r="B27" s="5" t="s">
        <v>24</v>
      </c>
      <c r="C27" s="5" t="s">
        <v>30</v>
      </c>
      <c r="D27" s="5" t="s">
        <v>24</v>
      </c>
      <c r="E27" s="5" t="s">
        <v>45</v>
      </c>
      <c r="F27" s="5" t="s">
        <v>48</v>
      </c>
      <c r="G27" s="5" t="s">
        <v>28</v>
      </c>
      <c r="H27" s="5" t="s">
        <v>38</v>
      </c>
      <c r="I27" s="5" t="s">
        <v>51</v>
      </c>
      <c r="J27" s="6" t="s">
        <v>52</v>
      </c>
      <c r="K27" s="66">
        <v>2</v>
      </c>
      <c r="L27" s="6" t="s">
        <v>53</v>
      </c>
      <c r="M27" s="63">
        <v>10900728.789999999</v>
      </c>
      <c r="N27" s="63">
        <v>9905914.75</v>
      </c>
      <c r="O27" s="63">
        <v>9905914.75</v>
      </c>
      <c r="P27" s="64">
        <f t="shared" si="2"/>
        <v>0.90873875874128607</v>
      </c>
    </row>
    <row r="28" spans="1:16" s="8" customFormat="1" ht="31.2" x14ac:dyDescent="0.25">
      <c r="A28" s="67" t="s">
        <v>522</v>
      </c>
      <c r="B28" s="68" t="s">
        <v>24</v>
      </c>
      <c r="C28" s="68" t="s">
        <v>30</v>
      </c>
      <c r="D28" s="68" t="s">
        <v>24</v>
      </c>
      <c r="E28" s="68" t="s">
        <v>45</v>
      </c>
      <c r="F28" s="68" t="s">
        <v>48</v>
      </c>
      <c r="G28" s="68" t="s">
        <v>28</v>
      </c>
      <c r="H28" s="68" t="s">
        <v>38</v>
      </c>
      <c r="I28" s="68" t="s">
        <v>51</v>
      </c>
      <c r="J28" s="7" t="s">
        <v>52</v>
      </c>
      <c r="K28" s="7">
        <v>23.26</v>
      </c>
      <c r="L28" s="7">
        <v>2019</v>
      </c>
      <c r="M28" s="69">
        <f>35000000+9257072.54</f>
        <v>44257072.539999999</v>
      </c>
      <c r="N28" s="69">
        <v>41431702.799999997</v>
      </c>
      <c r="O28" s="69">
        <v>44257072.539999999</v>
      </c>
      <c r="P28" s="64">
        <f t="shared" si="2"/>
        <v>1</v>
      </c>
    </row>
    <row r="29" spans="1:16" s="8" customFormat="1" ht="46.8" x14ac:dyDescent="0.25">
      <c r="A29" s="67" t="s">
        <v>502</v>
      </c>
      <c r="B29" s="68" t="s">
        <v>24</v>
      </c>
      <c r="C29" s="68" t="s">
        <v>30</v>
      </c>
      <c r="D29" s="68" t="s">
        <v>24</v>
      </c>
      <c r="E29" s="68" t="s">
        <v>45</v>
      </c>
      <c r="F29" s="68" t="s">
        <v>48</v>
      </c>
      <c r="G29" s="68" t="s">
        <v>28</v>
      </c>
      <c r="H29" s="68" t="s">
        <v>38</v>
      </c>
      <c r="I29" s="68" t="s">
        <v>51</v>
      </c>
      <c r="J29" s="7" t="s">
        <v>52</v>
      </c>
      <c r="K29" s="7">
        <v>0.97</v>
      </c>
      <c r="L29" s="7">
        <v>2019</v>
      </c>
      <c r="M29" s="69">
        <v>17253113.539999999</v>
      </c>
      <c r="N29" s="69">
        <v>13889552.4</v>
      </c>
      <c r="O29" s="69">
        <v>13889552.4</v>
      </c>
      <c r="P29" s="64">
        <f t="shared" si="2"/>
        <v>0.80504613661749547</v>
      </c>
    </row>
    <row r="30" spans="1:16" s="8" customFormat="1" ht="46.8" x14ac:dyDescent="0.25">
      <c r="A30" s="67" t="s">
        <v>503</v>
      </c>
      <c r="B30" s="68" t="s">
        <v>24</v>
      </c>
      <c r="C30" s="68" t="s">
        <v>30</v>
      </c>
      <c r="D30" s="68" t="s">
        <v>24</v>
      </c>
      <c r="E30" s="68" t="s">
        <v>45</v>
      </c>
      <c r="F30" s="68" t="s">
        <v>48</v>
      </c>
      <c r="G30" s="68" t="s">
        <v>28</v>
      </c>
      <c r="H30" s="68" t="s">
        <v>38</v>
      </c>
      <c r="I30" s="68" t="s">
        <v>51</v>
      </c>
      <c r="J30" s="7" t="s">
        <v>52</v>
      </c>
      <c r="K30" s="7">
        <v>27.91</v>
      </c>
      <c r="L30" s="7">
        <v>2019</v>
      </c>
      <c r="M30" s="69">
        <v>56511305.200000003</v>
      </c>
      <c r="N30" s="69">
        <v>41180042.219999999</v>
      </c>
      <c r="O30" s="69">
        <v>56511305.200000003</v>
      </c>
      <c r="P30" s="64">
        <f t="shared" si="2"/>
        <v>1</v>
      </c>
    </row>
    <row r="31" spans="1:16" ht="32.25" customHeight="1" x14ac:dyDescent="0.25">
      <c r="A31" s="37" t="s">
        <v>60</v>
      </c>
      <c r="B31" s="32" t="s">
        <v>61</v>
      </c>
      <c r="C31" s="32" t="s">
        <v>0</v>
      </c>
      <c r="D31" s="32" t="s">
        <v>0</v>
      </c>
      <c r="E31" s="32" t="s">
        <v>0</v>
      </c>
      <c r="F31" s="32" t="s">
        <v>0</v>
      </c>
      <c r="G31" s="32" t="s">
        <v>0</v>
      </c>
      <c r="H31" s="38" t="s">
        <v>0</v>
      </c>
      <c r="I31" s="38" t="s">
        <v>0</v>
      </c>
      <c r="J31" s="38" t="s">
        <v>0</v>
      </c>
      <c r="K31" s="38" t="s">
        <v>0</v>
      </c>
      <c r="L31" s="38" t="s">
        <v>0</v>
      </c>
      <c r="M31" s="61">
        <f>M32+M55</f>
        <v>591102180.33000004</v>
      </c>
      <c r="N31" s="61">
        <f t="shared" ref="N31:O31" si="5">N32+N55</f>
        <v>518204594.77999997</v>
      </c>
      <c r="O31" s="61">
        <f t="shared" si="5"/>
        <v>519329713.5</v>
      </c>
      <c r="P31" s="62">
        <f t="shared" si="2"/>
        <v>0.87857857876631251</v>
      </c>
    </row>
    <row r="32" spans="1:16" ht="32.25" customHeight="1" x14ac:dyDescent="0.25">
      <c r="A32" s="37" t="s">
        <v>62</v>
      </c>
      <c r="B32" s="32" t="s">
        <v>61</v>
      </c>
      <c r="C32" s="32" t="s">
        <v>30</v>
      </c>
      <c r="D32" s="32" t="s">
        <v>63</v>
      </c>
      <c r="E32" s="32" t="s">
        <v>0</v>
      </c>
      <c r="F32" s="32" t="s">
        <v>0</v>
      </c>
      <c r="G32" s="32" t="s">
        <v>0</v>
      </c>
      <c r="H32" s="38" t="s">
        <v>0</v>
      </c>
      <c r="I32" s="38" t="s">
        <v>0</v>
      </c>
      <c r="J32" s="38" t="s">
        <v>0</v>
      </c>
      <c r="K32" s="38" t="s">
        <v>0</v>
      </c>
      <c r="L32" s="38" t="s">
        <v>0</v>
      </c>
      <c r="M32" s="61">
        <f>M33</f>
        <v>559342830.33000004</v>
      </c>
      <c r="N32" s="61">
        <f t="shared" ref="N32:O34" si="6">N33</f>
        <v>495745301.23999995</v>
      </c>
      <c r="O32" s="61">
        <f t="shared" si="6"/>
        <v>496870419.95999998</v>
      </c>
      <c r="P32" s="62">
        <f t="shared" si="2"/>
        <v>0.88831105543420896</v>
      </c>
    </row>
    <row r="33" spans="1:16" ht="32.25" customHeight="1" x14ac:dyDescent="0.25">
      <c r="A33" s="37" t="s">
        <v>31</v>
      </c>
      <c r="B33" s="32" t="s">
        <v>61</v>
      </c>
      <c r="C33" s="32" t="s">
        <v>30</v>
      </c>
      <c r="D33" s="32" t="s">
        <v>63</v>
      </c>
      <c r="E33" s="32" t="s">
        <v>32</v>
      </c>
      <c r="F33" s="32" t="s">
        <v>0</v>
      </c>
      <c r="G33" s="32" t="s">
        <v>0</v>
      </c>
      <c r="H33" s="38" t="s">
        <v>0</v>
      </c>
      <c r="I33" s="38" t="s">
        <v>0</v>
      </c>
      <c r="J33" s="38" t="s">
        <v>0</v>
      </c>
      <c r="K33" s="38" t="s">
        <v>0</v>
      </c>
      <c r="L33" s="38" t="s">
        <v>0</v>
      </c>
      <c r="M33" s="61">
        <f>M34</f>
        <v>559342830.33000004</v>
      </c>
      <c r="N33" s="61">
        <f t="shared" si="6"/>
        <v>495745301.23999995</v>
      </c>
      <c r="O33" s="61">
        <f t="shared" si="6"/>
        <v>496870419.95999998</v>
      </c>
      <c r="P33" s="62">
        <f t="shared" si="2"/>
        <v>0.88831105543420896</v>
      </c>
    </row>
    <row r="34" spans="1:16" ht="80.099999999999994" customHeight="1" x14ac:dyDescent="0.25">
      <c r="A34" s="37" t="s">
        <v>33</v>
      </c>
      <c r="B34" s="32" t="s">
        <v>61</v>
      </c>
      <c r="C34" s="32" t="s">
        <v>30</v>
      </c>
      <c r="D34" s="32" t="s">
        <v>63</v>
      </c>
      <c r="E34" s="32" t="s">
        <v>32</v>
      </c>
      <c r="F34" s="32" t="s">
        <v>0</v>
      </c>
      <c r="G34" s="32" t="s">
        <v>0</v>
      </c>
      <c r="H34" s="38" t="s">
        <v>0</v>
      </c>
      <c r="I34" s="38" t="s">
        <v>0</v>
      </c>
      <c r="J34" s="38" t="s">
        <v>0</v>
      </c>
      <c r="K34" s="38" t="s">
        <v>0</v>
      </c>
      <c r="L34" s="38" t="s">
        <v>0</v>
      </c>
      <c r="M34" s="61">
        <f>M35</f>
        <v>559342830.33000004</v>
      </c>
      <c r="N34" s="61">
        <f t="shared" si="6"/>
        <v>495745301.23999995</v>
      </c>
      <c r="O34" s="61">
        <f t="shared" si="6"/>
        <v>496870419.95999998</v>
      </c>
      <c r="P34" s="62">
        <f t="shared" si="2"/>
        <v>0.88831105543420896</v>
      </c>
    </row>
    <row r="35" spans="1:16" ht="15" customHeight="1" x14ac:dyDescent="0.25">
      <c r="A35" s="36" t="s">
        <v>64</v>
      </c>
      <c r="B35" s="32" t="s">
        <v>61</v>
      </c>
      <c r="C35" s="32" t="s">
        <v>30</v>
      </c>
      <c r="D35" s="32" t="s">
        <v>63</v>
      </c>
      <c r="E35" s="32" t="s">
        <v>32</v>
      </c>
      <c r="F35" s="32" t="s">
        <v>65</v>
      </c>
      <c r="G35" s="32" t="s">
        <v>0</v>
      </c>
      <c r="H35" s="32" t="s">
        <v>0</v>
      </c>
      <c r="I35" s="32" t="s">
        <v>0</v>
      </c>
      <c r="J35" s="32" t="s">
        <v>0</v>
      </c>
      <c r="K35" s="32" t="s">
        <v>0</v>
      </c>
      <c r="L35" s="32" t="s">
        <v>0</v>
      </c>
      <c r="M35" s="61">
        <f>M36+M46</f>
        <v>559342830.33000004</v>
      </c>
      <c r="N35" s="61">
        <f t="shared" ref="N35:O35" si="7">N36+N46</f>
        <v>495745301.23999995</v>
      </c>
      <c r="O35" s="61">
        <f t="shared" si="7"/>
        <v>496870419.95999998</v>
      </c>
      <c r="P35" s="62">
        <f t="shared" si="2"/>
        <v>0.88831105543420896</v>
      </c>
    </row>
    <row r="36" spans="1:16" ht="15" customHeight="1" x14ac:dyDescent="0.25">
      <c r="A36" s="36" t="s">
        <v>70</v>
      </c>
      <c r="B36" s="32" t="s">
        <v>61</v>
      </c>
      <c r="C36" s="32" t="s">
        <v>30</v>
      </c>
      <c r="D36" s="32" t="s">
        <v>63</v>
      </c>
      <c r="E36" s="32" t="s">
        <v>32</v>
      </c>
      <c r="F36" s="32" t="s">
        <v>65</v>
      </c>
      <c r="G36" s="32" t="s">
        <v>71</v>
      </c>
      <c r="H36" s="32" t="s">
        <v>0</v>
      </c>
      <c r="I36" s="32" t="s">
        <v>0</v>
      </c>
      <c r="J36" s="32" t="s">
        <v>0</v>
      </c>
      <c r="K36" s="32" t="s">
        <v>0</v>
      </c>
      <c r="L36" s="32" t="s">
        <v>0</v>
      </c>
      <c r="M36" s="61">
        <f>M37</f>
        <v>35251760.329999998</v>
      </c>
      <c r="N36" s="61">
        <f t="shared" ref="N36:O37" si="8">N37</f>
        <v>13258473.08</v>
      </c>
      <c r="O36" s="61">
        <f t="shared" si="8"/>
        <v>13258473.08</v>
      </c>
      <c r="P36" s="62">
        <f t="shared" si="2"/>
        <v>0.3761081136341653</v>
      </c>
    </row>
    <row r="37" spans="1:16" ht="48.9" customHeight="1" x14ac:dyDescent="0.25">
      <c r="A37" s="37" t="s">
        <v>37</v>
      </c>
      <c r="B37" s="32" t="s">
        <v>61</v>
      </c>
      <c r="C37" s="32" t="s">
        <v>30</v>
      </c>
      <c r="D37" s="32" t="s">
        <v>63</v>
      </c>
      <c r="E37" s="32" t="s">
        <v>32</v>
      </c>
      <c r="F37" s="32" t="s">
        <v>65</v>
      </c>
      <c r="G37" s="32" t="s">
        <v>71</v>
      </c>
      <c r="H37" s="32" t="s">
        <v>38</v>
      </c>
      <c r="I37" s="38" t="s">
        <v>0</v>
      </c>
      <c r="J37" s="38" t="s">
        <v>0</v>
      </c>
      <c r="K37" s="38" t="s">
        <v>0</v>
      </c>
      <c r="L37" s="38" t="s">
        <v>0</v>
      </c>
      <c r="M37" s="61">
        <f>M38</f>
        <v>35251760.329999998</v>
      </c>
      <c r="N37" s="61">
        <f t="shared" si="8"/>
        <v>13258473.08</v>
      </c>
      <c r="O37" s="61">
        <f t="shared" si="8"/>
        <v>13258473.08</v>
      </c>
      <c r="P37" s="62">
        <f t="shared" si="2"/>
        <v>0.3761081136341653</v>
      </c>
    </row>
    <row r="38" spans="1:16" ht="64.5" customHeight="1" x14ac:dyDescent="0.25">
      <c r="A38" s="37" t="s">
        <v>39</v>
      </c>
      <c r="B38" s="32" t="s">
        <v>61</v>
      </c>
      <c r="C38" s="32" t="s">
        <v>30</v>
      </c>
      <c r="D38" s="32" t="s">
        <v>63</v>
      </c>
      <c r="E38" s="32" t="s">
        <v>32</v>
      </c>
      <c r="F38" s="32" t="s">
        <v>65</v>
      </c>
      <c r="G38" s="32" t="s">
        <v>71</v>
      </c>
      <c r="H38" s="32" t="s">
        <v>38</v>
      </c>
      <c r="I38" s="32" t="s">
        <v>40</v>
      </c>
      <c r="J38" s="32" t="s">
        <v>0</v>
      </c>
      <c r="K38" s="32" t="s">
        <v>0</v>
      </c>
      <c r="L38" s="32" t="s">
        <v>0</v>
      </c>
      <c r="M38" s="61">
        <f>M39+M40+M41+M42+M43+M44+M45</f>
        <v>35251760.329999998</v>
      </c>
      <c r="N38" s="61">
        <f t="shared" ref="N38:O38" si="9">N39+N40+N41+N42+N43+N44+N45</f>
        <v>13258473.08</v>
      </c>
      <c r="O38" s="61">
        <f t="shared" si="9"/>
        <v>13258473.08</v>
      </c>
      <c r="P38" s="62">
        <f t="shared" si="2"/>
        <v>0.3761081136341653</v>
      </c>
    </row>
    <row r="39" spans="1:16" ht="58.5" customHeight="1" x14ac:dyDescent="0.25">
      <c r="A39" s="4" t="s">
        <v>72</v>
      </c>
      <c r="B39" s="5" t="s">
        <v>61</v>
      </c>
      <c r="C39" s="5" t="s">
        <v>30</v>
      </c>
      <c r="D39" s="5" t="s">
        <v>63</v>
      </c>
      <c r="E39" s="5" t="s">
        <v>32</v>
      </c>
      <c r="F39" s="5" t="s">
        <v>65</v>
      </c>
      <c r="G39" s="5" t="s">
        <v>71</v>
      </c>
      <c r="H39" s="5" t="s">
        <v>38</v>
      </c>
      <c r="I39" s="5" t="s">
        <v>40</v>
      </c>
      <c r="J39" s="6" t="s">
        <v>73</v>
      </c>
      <c r="K39" s="6" t="s">
        <v>74</v>
      </c>
      <c r="L39" s="6" t="s">
        <v>75</v>
      </c>
      <c r="M39" s="63">
        <v>22727518.959999997</v>
      </c>
      <c r="N39" s="63">
        <v>734231.71</v>
      </c>
      <c r="O39" s="63">
        <v>734231.71</v>
      </c>
      <c r="P39" s="64">
        <f t="shared" si="2"/>
        <v>3.2305845230719367E-2</v>
      </c>
    </row>
    <row r="40" spans="1:16" ht="60.75" customHeight="1" x14ac:dyDescent="0.25">
      <c r="A40" s="4" t="s">
        <v>530</v>
      </c>
      <c r="B40" s="5" t="s">
        <v>61</v>
      </c>
      <c r="C40" s="5" t="s">
        <v>30</v>
      </c>
      <c r="D40" s="5" t="s">
        <v>63</v>
      </c>
      <c r="E40" s="5" t="s">
        <v>32</v>
      </c>
      <c r="F40" s="5" t="s">
        <v>65</v>
      </c>
      <c r="G40" s="5" t="s">
        <v>71</v>
      </c>
      <c r="H40" s="5" t="s">
        <v>38</v>
      </c>
      <c r="I40" s="5" t="s">
        <v>40</v>
      </c>
      <c r="J40" s="6"/>
      <c r="K40" s="6"/>
      <c r="L40" s="6">
        <v>2019</v>
      </c>
      <c r="M40" s="63">
        <v>207629.6</v>
      </c>
      <c r="N40" s="63">
        <v>207629.6</v>
      </c>
      <c r="O40" s="63">
        <v>207629.6</v>
      </c>
      <c r="P40" s="64">
        <f t="shared" si="2"/>
        <v>1</v>
      </c>
    </row>
    <row r="41" spans="1:16" ht="91.5" customHeight="1" x14ac:dyDescent="0.25">
      <c r="A41" s="4" t="s">
        <v>490</v>
      </c>
      <c r="B41" s="5" t="s">
        <v>61</v>
      </c>
      <c r="C41" s="5" t="s">
        <v>30</v>
      </c>
      <c r="D41" s="5" t="s">
        <v>63</v>
      </c>
      <c r="E41" s="5" t="s">
        <v>32</v>
      </c>
      <c r="F41" s="5" t="s">
        <v>65</v>
      </c>
      <c r="G41" s="5" t="s">
        <v>71</v>
      </c>
      <c r="H41" s="5" t="s">
        <v>38</v>
      </c>
      <c r="I41" s="5" t="s">
        <v>40</v>
      </c>
      <c r="J41" s="6" t="s">
        <v>469</v>
      </c>
      <c r="K41" s="6">
        <v>997.42</v>
      </c>
      <c r="L41" s="6">
        <v>2019</v>
      </c>
      <c r="M41" s="63">
        <v>3094123.71</v>
      </c>
      <c r="N41" s="63">
        <v>3094123.71</v>
      </c>
      <c r="O41" s="63">
        <v>3094123.71</v>
      </c>
      <c r="P41" s="64">
        <f t="shared" si="2"/>
        <v>1</v>
      </c>
    </row>
    <row r="42" spans="1:16" ht="64.5" customHeight="1" x14ac:dyDescent="0.25">
      <c r="A42" s="4" t="s">
        <v>567</v>
      </c>
      <c r="B42" s="5" t="s">
        <v>61</v>
      </c>
      <c r="C42" s="5" t="s">
        <v>30</v>
      </c>
      <c r="D42" s="5" t="s">
        <v>63</v>
      </c>
      <c r="E42" s="5" t="s">
        <v>32</v>
      </c>
      <c r="F42" s="5" t="s">
        <v>65</v>
      </c>
      <c r="G42" s="5" t="s">
        <v>71</v>
      </c>
      <c r="H42" s="5" t="s">
        <v>38</v>
      </c>
      <c r="I42" s="5" t="s">
        <v>40</v>
      </c>
      <c r="J42" s="6"/>
      <c r="K42" s="6"/>
      <c r="L42" s="6">
        <v>2019</v>
      </c>
      <c r="M42" s="63">
        <v>785083.37999999989</v>
      </c>
      <c r="N42" s="63">
        <v>785083.37999999989</v>
      </c>
      <c r="O42" s="63">
        <v>785083.37999999989</v>
      </c>
      <c r="P42" s="64">
        <f t="shared" si="2"/>
        <v>1</v>
      </c>
    </row>
    <row r="43" spans="1:16" ht="58.5" customHeight="1" x14ac:dyDescent="0.25">
      <c r="A43" s="4" t="s">
        <v>568</v>
      </c>
      <c r="B43" s="5" t="s">
        <v>61</v>
      </c>
      <c r="C43" s="5" t="s">
        <v>30</v>
      </c>
      <c r="D43" s="5" t="s">
        <v>63</v>
      </c>
      <c r="E43" s="5" t="s">
        <v>32</v>
      </c>
      <c r="F43" s="5" t="s">
        <v>65</v>
      </c>
      <c r="G43" s="5" t="s">
        <v>71</v>
      </c>
      <c r="H43" s="5" t="s">
        <v>38</v>
      </c>
      <c r="I43" s="5" t="s">
        <v>40</v>
      </c>
      <c r="J43" s="6"/>
      <c r="K43" s="6"/>
      <c r="L43" s="6">
        <v>2019</v>
      </c>
      <c r="M43" s="63">
        <v>207629.6</v>
      </c>
      <c r="N43" s="63">
        <v>207629.6</v>
      </c>
      <c r="O43" s="63">
        <v>207629.6</v>
      </c>
      <c r="P43" s="64">
        <f t="shared" si="2"/>
        <v>1</v>
      </c>
    </row>
    <row r="44" spans="1:16" ht="72" customHeight="1" x14ac:dyDescent="0.25">
      <c r="A44" s="4" t="s">
        <v>79</v>
      </c>
      <c r="B44" s="5" t="s">
        <v>61</v>
      </c>
      <c r="C44" s="5" t="s">
        <v>30</v>
      </c>
      <c r="D44" s="5" t="s">
        <v>63</v>
      </c>
      <c r="E44" s="5" t="s">
        <v>32</v>
      </c>
      <c r="F44" s="5" t="s">
        <v>65</v>
      </c>
      <c r="G44" s="5" t="s">
        <v>71</v>
      </c>
      <c r="H44" s="5" t="s">
        <v>38</v>
      </c>
      <c r="I44" s="5" t="s">
        <v>40</v>
      </c>
      <c r="J44" s="6" t="s">
        <v>77</v>
      </c>
      <c r="K44" s="6" t="s">
        <v>76</v>
      </c>
      <c r="L44" s="6" t="s">
        <v>53</v>
      </c>
      <c r="M44" s="63">
        <v>7777589.4000000004</v>
      </c>
      <c r="N44" s="63">
        <v>7777589.4000000004</v>
      </c>
      <c r="O44" s="63">
        <v>7777589.4000000004</v>
      </c>
      <c r="P44" s="64">
        <f t="shared" si="2"/>
        <v>1</v>
      </c>
    </row>
    <row r="45" spans="1:16" ht="64.5" customHeight="1" x14ac:dyDescent="0.25">
      <c r="A45" s="4" t="s">
        <v>561</v>
      </c>
      <c r="B45" s="5" t="s">
        <v>61</v>
      </c>
      <c r="C45" s="5" t="s">
        <v>30</v>
      </c>
      <c r="D45" s="5" t="s">
        <v>63</v>
      </c>
      <c r="E45" s="5" t="s">
        <v>32</v>
      </c>
      <c r="F45" s="5" t="s">
        <v>65</v>
      </c>
      <c r="G45" s="5" t="s">
        <v>71</v>
      </c>
      <c r="H45" s="5" t="s">
        <v>38</v>
      </c>
      <c r="I45" s="5" t="s">
        <v>40</v>
      </c>
      <c r="J45" s="6" t="s">
        <v>80</v>
      </c>
      <c r="K45" s="6" t="s">
        <v>81</v>
      </c>
      <c r="L45" s="6" t="s">
        <v>41</v>
      </c>
      <c r="M45" s="63">
        <v>452185.6799999997</v>
      </c>
      <c r="N45" s="63">
        <v>452185.6799999997</v>
      </c>
      <c r="O45" s="63">
        <v>452185.6799999997</v>
      </c>
      <c r="P45" s="64">
        <f t="shared" si="2"/>
        <v>1</v>
      </c>
    </row>
    <row r="46" spans="1:16" ht="15" customHeight="1" x14ac:dyDescent="0.25">
      <c r="A46" s="36" t="s">
        <v>66</v>
      </c>
      <c r="B46" s="32" t="s">
        <v>61</v>
      </c>
      <c r="C46" s="32" t="s">
        <v>30</v>
      </c>
      <c r="D46" s="32" t="s">
        <v>63</v>
      </c>
      <c r="E46" s="32" t="s">
        <v>32</v>
      </c>
      <c r="F46" s="32" t="s">
        <v>65</v>
      </c>
      <c r="G46" s="32" t="s">
        <v>28</v>
      </c>
      <c r="H46" s="32" t="s">
        <v>0</v>
      </c>
      <c r="I46" s="32" t="s">
        <v>0</v>
      </c>
      <c r="J46" s="32" t="s">
        <v>0</v>
      </c>
      <c r="K46" s="32" t="s">
        <v>0</v>
      </c>
      <c r="L46" s="32" t="s">
        <v>0</v>
      </c>
      <c r="M46" s="61">
        <f>M47+M52</f>
        <v>524091070</v>
      </c>
      <c r="N46" s="61">
        <f t="shared" ref="N46:O46" si="10">N47+N52</f>
        <v>482486828.15999997</v>
      </c>
      <c r="O46" s="61">
        <f t="shared" si="10"/>
        <v>483611946.88</v>
      </c>
      <c r="P46" s="62">
        <f t="shared" si="2"/>
        <v>0.92276318861910778</v>
      </c>
    </row>
    <row r="47" spans="1:16" ht="48.9" customHeight="1" x14ac:dyDescent="0.25">
      <c r="A47" s="37" t="s">
        <v>37</v>
      </c>
      <c r="B47" s="32" t="s">
        <v>61</v>
      </c>
      <c r="C47" s="32" t="s">
        <v>30</v>
      </c>
      <c r="D47" s="32" t="s">
        <v>63</v>
      </c>
      <c r="E47" s="32" t="s">
        <v>32</v>
      </c>
      <c r="F47" s="32" t="s">
        <v>65</v>
      </c>
      <c r="G47" s="32" t="s">
        <v>28</v>
      </c>
      <c r="H47" s="32" t="s">
        <v>38</v>
      </c>
      <c r="I47" s="38" t="s">
        <v>0</v>
      </c>
      <c r="J47" s="38" t="s">
        <v>0</v>
      </c>
      <c r="K47" s="38" t="s">
        <v>0</v>
      </c>
      <c r="L47" s="38" t="s">
        <v>0</v>
      </c>
      <c r="M47" s="61">
        <f>M48</f>
        <v>178641270</v>
      </c>
      <c r="N47" s="61">
        <f t="shared" ref="N47:O47" si="11">N48</f>
        <v>145096649.84</v>
      </c>
      <c r="O47" s="61">
        <f t="shared" si="11"/>
        <v>146221768.56</v>
      </c>
      <c r="P47" s="62">
        <f t="shared" si="2"/>
        <v>0.81852177024939421</v>
      </c>
    </row>
    <row r="48" spans="1:16" ht="64.5" customHeight="1" x14ac:dyDescent="0.25">
      <c r="A48" s="37" t="s">
        <v>39</v>
      </c>
      <c r="B48" s="32" t="s">
        <v>61</v>
      </c>
      <c r="C48" s="32" t="s">
        <v>30</v>
      </c>
      <c r="D48" s="32" t="s">
        <v>63</v>
      </c>
      <c r="E48" s="32" t="s">
        <v>32</v>
      </c>
      <c r="F48" s="32" t="s">
        <v>65</v>
      </c>
      <c r="G48" s="32" t="s">
        <v>28</v>
      </c>
      <c r="H48" s="32" t="s">
        <v>38</v>
      </c>
      <c r="I48" s="32" t="s">
        <v>40</v>
      </c>
      <c r="J48" s="32" t="s">
        <v>0</v>
      </c>
      <c r="K48" s="32" t="s">
        <v>0</v>
      </c>
      <c r="L48" s="32" t="s">
        <v>0</v>
      </c>
      <c r="M48" s="61">
        <f>M49+M50+M51</f>
        <v>178641270</v>
      </c>
      <c r="N48" s="61">
        <f t="shared" ref="N48:O48" si="12">N49+N50+N51</f>
        <v>145096649.84</v>
      </c>
      <c r="O48" s="61">
        <f t="shared" si="12"/>
        <v>146221768.56</v>
      </c>
      <c r="P48" s="62">
        <f t="shared" si="2"/>
        <v>0.81852177024939421</v>
      </c>
    </row>
    <row r="49" spans="1:16" ht="78.75" customHeight="1" x14ac:dyDescent="0.25">
      <c r="A49" s="4" t="s">
        <v>82</v>
      </c>
      <c r="B49" s="5" t="s">
        <v>61</v>
      </c>
      <c r="C49" s="5" t="s">
        <v>30</v>
      </c>
      <c r="D49" s="5" t="s">
        <v>63</v>
      </c>
      <c r="E49" s="5" t="s">
        <v>32</v>
      </c>
      <c r="F49" s="5" t="s">
        <v>65</v>
      </c>
      <c r="G49" s="5" t="s">
        <v>28</v>
      </c>
      <c r="H49" s="5" t="s">
        <v>38</v>
      </c>
      <c r="I49" s="5" t="s">
        <v>40</v>
      </c>
      <c r="J49" s="6" t="s">
        <v>68</v>
      </c>
      <c r="K49" s="6" t="s">
        <v>69</v>
      </c>
      <c r="L49" s="6" t="s">
        <v>53</v>
      </c>
      <c r="M49" s="63">
        <v>127796610</v>
      </c>
      <c r="N49" s="63">
        <v>123416060.58</v>
      </c>
      <c r="O49" s="63">
        <v>123416060.58</v>
      </c>
      <c r="P49" s="64">
        <f t="shared" si="2"/>
        <v>0.96572249123040121</v>
      </c>
    </row>
    <row r="50" spans="1:16" ht="96.6" customHeight="1" x14ac:dyDescent="0.25">
      <c r="A50" s="4" t="s">
        <v>564</v>
      </c>
      <c r="B50" s="5" t="s">
        <v>61</v>
      </c>
      <c r="C50" s="5" t="s">
        <v>30</v>
      </c>
      <c r="D50" s="5" t="s">
        <v>63</v>
      </c>
      <c r="E50" s="5" t="s">
        <v>32</v>
      </c>
      <c r="F50" s="5" t="s">
        <v>65</v>
      </c>
      <c r="G50" s="5" t="s">
        <v>28</v>
      </c>
      <c r="H50" s="5" t="s">
        <v>38</v>
      </c>
      <c r="I50" s="5" t="s">
        <v>40</v>
      </c>
      <c r="J50" s="6"/>
      <c r="K50" s="6"/>
      <c r="L50" s="6">
        <v>2019</v>
      </c>
      <c r="M50" s="63">
        <f>5000000-2209343.14-1945996.86</f>
        <v>844659.99999999977</v>
      </c>
      <c r="N50" s="63">
        <f>5000000-2209343.14-1945996.86</f>
        <v>844659.99999999977</v>
      </c>
      <c r="O50" s="63">
        <f>5000000-2209343.14-1945996.86</f>
        <v>844659.99999999977</v>
      </c>
      <c r="P50" s="64">
        <f t="shared" si="2"/>
        <v>1</v>
      </c>
    </row>
    <row r="51" spans="1:16" ht="63" customHeight="1" x14ac:dyDescent="0.25">
      <c r="A51" s="4" t="s">
        <v>67</v>
      </c>
      <c r="B51" s="5" t="s">
        <v>61</v>
      </c>
      <c r="C51" s="5" t="s">
        <v>30</v>
      </c>
      <c r="D51" s="5" t="s">
        <v>63</v>
      </c>
      <c r="E51" s="5" t="s">
        <v>32</v>
      </c>
      <c r="F51" s="5" t="s">
        <v>65</v>
      </c>
      <c r="G51" s="5" t="s">
        <v>28</v>
      </c>
      <c r="H51" s="5" t="s">
        <v>38</v>
      </c>
      <c r="I51" s="5" t="s">
        <v>40</v>
      </c>
      <c r="J51" s="6" t="s">
        <v>68</v>
      </c>
      <c r="K51" s="6" t="s">
        <v>69</v>
      </c>
      <c r="L51" s="6" t="s">
        <v>41</v>
      </c>
      <c r="M51" s="63">
        <v>50000000</v>
      </c>
      <c r="N51" s="63">
        <v>20835929.260000002</v>
      </c>
      <c r="O51" s="63">
        <v>21961047.98</v>
      </c>
      <c r="P51" s="64">
        <f t="shared" si="2"/>
        <v>0.43922095960000002</v>
      </c>
    </row>
    <row r="52" spans="1:16" ht="64.5" customHeight="1" x14ac:dyDescent="0.25">
      <c r="A52" s="37" t="s">
        <v>83</v>
      </c>
      <c r="B52" s="32" t="s">
        <v>61</v>
      </c>
      <c r="C52" s="32" t="s">
        <v>30</v>
      </c>
      <c r="D52" s="32" t="s">
        <v>63</v>
      </c>
      <c r="E52" s="32" t="s">
        <v>32</v>
      </c>
      <c r="F52" s="32" t="s">
        <v>65</v>
      </c>
      <c r="G52" s="32" t="s">
        <v>28</v>
      </c>
      <c r="H52" s="32" t="s">
        <v>84</v>
      </c>
      <c r="I52" s="38" t="s">
        <v>0</v>
      </c>
      <c r="J52" s="38" t="s">
        <v>0</v>
      </c>
      <c r="K52" s="38" t="s">
        <v>0</v>
      </c>
      <c r="L52" s="38" t="s">
        <v>0</v>
      </c>
      <c r="M52" s="61">
        <f>M53</f>
        <v>345449800</v>
      </c>
      <c r="N52" s="61">
        <f t="shared" ref="N52:O53" si="13">N53</f>
        <v>337390178.31999999</v>
      </c>
      <c r="O52" s="61">
        <f t="shared" si="13"/>
        <v>337390178.31999999</v>
      </c>
      <c r="P52" s="62">
        <f t="shared" si="2"/>
        <v>0.97666919569789878</v>
      </c>
    </row>
    <row r="53" spans="1:16" ht="64.5" customHeight="1" x14ac:dyDescent="0.25">
      <c r="A53" s="37" t="s">
        <v>39</v>
      </c>
      <c r="B53" s="32" t="s">
        <v>61</v>
      </c>
      <c r="C53" s="32" t="s">
        <v>30</v>
      </c>
      <c r="D53" s="32" t="s">
        <v>63</v>
      </c>
      <c r="E53" s="32" t="s">
        <v>32</v>
      </c>
      <c r="F53" s="32" t="s">
        <v>65</v>
      </c>
      <c r="G53" s="32" t="s">
        <v>28</v>
      </c>
      <c r="H53" s="32" t="s">
        <v>84</v>
      </c>
      <c r="I53" s="32" t="s">
        <v>40</v>
      </c>
      <c r="J53" s="32" t="s">
        <v>0</v>
      </c>
      <c r="K53" s="32" t="s">
        <v>0</v>
      </c>
      <c r="L53" s="32" t="s">
        <v>0</v>
      </c>
      <c r="M53" s="61">
        <f>M54</f>
        <v>345449800</v>
      </c>
      <c r="N53" s="61">
        <f t="shared" si="13"/>
        <v>337390178.31999999</v>
      </c>
      <c r="O53" s="61">
        <f t="shared" si="13"/>
        <v>337390178.31999999</v>
      </c>
      <c r="P53" s="62">
        <f t="shared" si="2"/>
        <v>0.97666919569789878</v>
      </c>
    </row>
    <row r="54" spans="1:16" ht="48.9" customHeight="1" x14ac:dyDescent="0.25">
      <c r="A54" s="4" t="s">
        <v>85</v>
      </c>
      <c r="B54" s="5" t="s">
        <v>61</v>
      </c>
      <c r="C54" s="5" t="s">
        <v>30</v>
      </c>
      <c r="D54" s="5" t="s">
        <v>63</v>
      </c>
      <c r="E54" s="5" t="s">
        <v>32</v>
      </c>
      <c r="F54" s="5" t="s">
        <v>65</v>
      </c>
      <c r="G54" s="5" t="s">
        <v>28</v>
      </c>
      <c r="H54" s="5" t="s">
        <v>84</v>
      </c>
      <c r="I54" s="5" t="s">
        <v>40</v>
      </c>
      <c r="J54" s="6" t="s">
        <v>68</v>
      </c>
      <c r="K54" s="6" t="s">
        <v>86</v>
      </c>
      <c r="L54" s="6" t="s">
        <v>41</v>
      </c>
      <c r="M54" s="63">
        <v>345449800</v>
      </c>
      <c r="N54" s="63">
        <v>337390178.31999999</v>
      </c>
      <c r="O54" s="63">
        <v>337390178.31999999</v>
      </c>
      <c r="P54" s="64">
        <f t="shared" si="2"/>
        <v>0.97666919569789878</v>
      </c>
    </row>
    <row r="55" spans="1:16" ht="48.9" customHeight="1" x14ac:dyDescent="0.25">
      <c r="A55" s="37" t="s">
        <v>87</v>
      </c>
      <c r="B55" s="32" t="s">
        <v>61</v>
      </c>
      <c r="C55" s="32" t="s">
        <v>30</v>
      </c>
      <c r="D55" s="32" t="s">
        <v>88</v>
      </c>
      <c r="E55" s="32" t="s">
        <v>0</v>
      </c>
      <c r="F55" s="32" t="s">
        <v>0</v>
      </c>
      <c r="G55" s="32" t="s">
        <v>0</v>
      </c>
      <c r="H55" s="38" t="s">
        <v>0</v>
      </c>
      <c r="I55" s="38" t="s">
        <v>0</v>
      </c>
      <c r="J55" s="38" t="s">
        <v>0</v>
      </c>
      <c r="K55" s="38" t="s">
        <v>0</v>
      </c>
      <c r="L55" s="38" t="s">
        <v>0</v>
      </c>
      <c r="M55" s="61">
        <f>M56</f>
        <v>31759350</v>
      </c>
      <c r="N55" s="61">
        <f t="shared" ref="N55:O58" si="14">N56</f>
        <v>22459293.539999999</v>
      </c>
      <c r="O55" s="61">
        <f t="shared" si="14"/>
        <v>22459293.539999995</v>
      </c>
      <c r="P55" s="62">
        <f t="shared" si="2"/>
        <v>0.70717107056662043</v>
      </c>
    </row>
    <row r="56" spans="1:16" ht="32.25" customHeight="1" x14ac:dyDescent="0.25">
      <c r="A56" s="37" t="s">
        <v>31</v>
      </c>
      <c r="B56" s="32" t="s">
        <v>61</v>
      </c>
      <c r="C56" s="32" t="s">
        <v>30</v>
      </c>
      <c r="D56" s="32" t="s">
        <v>88</v>
      </c>
      <c r="E56" s="32" t="s">
        <v>32</v>
      </c>
      <c r="F56" s="32" t="s">
        <v>0</v>
      </c>
      <c r="G56" s="32" t="s">
        <v>0</v>
      </c>
      <c r="H56" s="38" t="s">
        <v>0</v>
      </c>
      <c r="I56" s="38" t="s">
        <v>0</v>
      </c>
      <c r="J56" s="38" t="s">
        <v>0</v>
      </c>
      <c r="K56" s="38" t="s">
        <v>0</v>
      </c>
      <c r="L56" s="38" t="s">
        <v>0</v>
      </c>
      <c r="M56" s="61">
        <f>M57</f>
        <v>31759350</v>
      </c>
      <c r="N56" s="61">
        <f t="shared" si="14"/>
        <v>22459293.539999999</v>
      </c>
      <c r="O56" s="61">
        <f t="shared" si="14"/>
        <v>22459293.539999995</v>
      </c>
      <c r="P56" s="62">
        <f t="shared" si="2"/>
        <v>0.70717107056662043</v>
      </c>
    </row>
    <row r="57" spans="1:16" ht="80.099999999999994" customHeight="1" x14ac:dyDescent="0.25">
      <c r="A57" s="37" t="s">
        <v>33</v>
      </c>
      <c r="B57" s="32" t="s">
        <v>61</v>
      </c>
      <c r="C57" s="32" t="s">
        <v>30</v>
      </c>
      <c r="D57" s="32" t="s">
        <v>88</v>
      </c>
      <c r="E57" s="32" t="s">
        <v>32</v>
      </c>
      <c r="F57" s="32" t="s">
        <v>0</v>
      </c>
      <c r="G57" s="32" t="s">
        <v>0</v>
      </c>
      <c r="H57" s="38" t="s">
        <v>0</v>
      </c>
      <c r="I57" s="38" t="s">
        <v>0</v>
      </c>
      <c r="J57" s="38" t="s">
        <v>0</v>
      </c>
      <c r="K57" s="38" t="s">
        <v>0</v>
      </c>
      <c r="L57" s="38" t="s">
        <v>0</v>
      </c>
      <c r="M57" s="61">
        <f>M58</f>
        <v>31759350</v>
      </c>
      <c r="N57" s="61">
        <f t="shared" si="14"/>
        <v>22459293.539999999</v>
      </c>
      <c r="O57" s="61">
        <f t="shared" si="14"/>
        <v>22459293.539999995</v>
      </c>
      <c r="P57" s="62">
        <f t="shared" si="2"/>
        <v>0.70717107056662043</v>
      </c>
    </row>
    <row r="58" spans="1:16" ht="15" customHeight="1" x14ac:dyDescent="0.25">
      <c r="A58" s="36" t="s">
        <v>64</v>
      </c>
      <c r="B58" s="32" t="s">
        <v>61</v>
      </c>
      <c r="C58" s="32" t="s">
        <v>30</v>
      </c>
      <c r="D58" s="32" t="s">
        <v>88</v>
      </c>
      <c r="E58" s="32" t="s">
        <v>32</v>
      </c>
      <c r="F58" s="32" t="s">
        <v>65</v>
      </c>
      <c r="G58" s="32" t="s">
        <v>0</v>
      </c>
      <c r="H58" s="32" t="s">
        <v>0</v>
      </c>
      <c r="I58" s="32" t="s">
        <v>0</v>
      </c>
      <c r="J58" s="32" t="s">
        <v>0</v>
      </c>
      <c r="K58" s="32" t="s">
        <v>0</v>
      </c>
      <c r="L58" s="32" t="s">
        <v>0</v>
      </c>
      <c r="M58" s="61">
        <f>M59</f>
        <v>31759350</v>
      </c>
      <c r="N58" s="61">
        <f t="shared" si="14"/>
        <v>22459293.539999999</v>
      </c>
      <c r="O58" s="61">
        <f t="shared" si="14"/>
        <v>22459293.539999995</v>
      </c>
      <c r="P58" s="62">
        <f t="shared" si="2"/>
        <v>0.70717107056662043</v>
      </c>
    </row>
    <row r="59" spans="1:16" ht="15" customHeight="1" x14ac:dyDescent="0.25">
      <c r="A59" s="36" t="s">
        <v>66</v>
      </c>
      <c r="B59" s="32" t="s">
        <v>61</v>
      </c>
      <c r="C59" s="32" t="s">
        <v>30</v>
      </c>
      <c r="D59" s="32" t="s">
        <v>88</v>
      </c>
      <c r="E59" s="32" t="s">
        <v>32</v>
      </c>
      <c r="F59" s="32" t="s">
        <v>65</v>
      </c>
      <c r="G59" s="32" t="s">
        <v>28</v>
      </c>
      <c r="H59" s="32" t="s">
        <v>0</v>
      </c>
      <c r="I59" s="32" t="s">
        <v>0</v>
      </c>
      <c r="J59" s="32" t="s">
        <v>0</v>
      </c>
      <c r="K59" s="32" t="s">
        <v>0</v>
      </c>
      <c r="L59" s="32" t="s">
        <v>0</v>
      </c>
      <c r="M59" s="61">
        <f>M60+M63</f>
        <v>31759350</v>
      </c>
      <c r="N59" s="61">
        <f t="shared" ref="N59:O59" si="15">N60+N63</f>
        <v>22459293.539999999</v>
      </c>
      <c r="O59" s="61">
        <f t="shared" si="15"/>
        <v>22459293.539999995</v>
      </c>
      <c r="P59" s="62">
        <f t="shared" si="2"/>
        <v>0.70717107056662043</v>
      </c>
    </row>
    <row r="60" spans="1:16" ht="48.9" customHeight="1" x14ac:dyDescent="0.25">
      <c r="A60" s="37" t="s">
        <v>37</v>
      </c>
      <c r="B60" s="32" t="s">
        <v>61</v>
      </c>
      <c r="C60" s="32" t="s">
        <v>30</v>
      </c>
      <c r="D60" s="32" t="s">
        <v>88</v>
      </c>
      <c r="E60" s="32" t="s">
        <v>32</v>
      </c>
      <c r="F60" s="32" t="s">
        <v>65</v>
      </c>
      <c r="G60" s="32" t="s">
        <v>28</v>
      </c>
      <c r="H60" s="32" t="s">
        <v>38</v>
      </c>
      <c r="I60" s="38" t="s">
        <v>0</v>
      </c>
      <c r="J60" s="38" t="s">
        <v>0</v>
      </c>
      <c r="K60" s="38" t="s">
        <v>0</v>
      </c>
      <c r="L60" s="38" t="s">
        <v>0</v>
      </c>
      <c r="M60" s="61">
        <f>M61</f>
        <v>10000000</v>
      </c>
      <c r="N60" s="61">
        <f t="shared" ref="N60:O61" si="16">N61</f>
        <v>2102199.06</v>
      </c>
      <c r="O60" s="61">
        <f t="shared" si="16"/>
        <v>2102199.06</v>
      </c>
      <c r="P60" s="62">
        <f t="shared" si="2"/>
        <v>0.21021990600000001</v>
      </c>
    </row>
    <row r="61" spans="1:16" ht="64.5" customHeight="1" x14ac:dyDescent="0.25">
      <c r="A61" s="37" t="s">
        <v>39</v>
      </c>
      <c r="B61" s="32" t="s">
        <v>61</v>
      </c>
      <c r="C61" s="32" t="s">
        <v>30</v>
      </c>
      <c r="D61" s="32" t="s">
        <v>88</v>
      </c>
      <c r="E61" s="32" t="s">
        <v>32</v>
      </c>
      <c r="F61" s="32" t="s">
        <v>65</v>
      </c>
      <c r="G61" s="32" t="s">
        <v>28</v>
      </c>
      <c r="H61" s="32" t="s">
        <v>38</v>
      </c>
      <c r="I61" s="32" t="s">
        <v>40</v>
      </c>
      <c r="J61" s="32" t="s">
        <v>0</v>
      </c>
      <c r="K61" s="32" t="s">
        <v>0</v>
      </c>
      <c r="L61" s="32" t="s">
        <v>0</v>
      </c>
      <c r="M61" s="61">
        <f>M62</f>
        <v>10000000</v>
      </c>
      <c r="N61" s="61">
        <f t="shared" si="16"/>
        <v>2102199.06</v>
      </c>
      <c r="O61" s="61">
        <f t="shared" si="16"/>
        <v>2102199.06</v>
      </c>
      <c r="P61" s="62">
        <f t="shared" si="2"/>
        <v>0.21021990600000001</v>
      </c>
    </row>
    <row r="62" spans="1:16" ht="54" customHeight="1" x14ac:dyDescent="0.25">
      <c r="A62" s="4" t="s">
        <v>565</v>
      </c>
      <c r="B62" s="5" t="s">
        <v>61</v>
      </c>
      <c r="C62" s="5" t="s">
        <v>30</v>
      </c>
      <c r="D62" s="5" t="s">
        <v>88</v>
      </c>
      <c r="E62" s="5" t="s">
        <v>32</v>
      </c>
      <c r="F62" s="5" t="s">
        <v>65</v>
      </c>
      <c r="G62" s="5" t="s">
        <v>28</v>
      </c>
      <c r="H62" s="5" t="s">
        <v>38</v>
      </c>
      <c r="I62" s="5" t="s">
        <v>40</v>
      </c>
      <c r="J62" s="6" t="s">
        <v>68</v>
      </c>
      <c r="K62" s="6" t="s">
        <v>89</v>
      </c>
      <c r="L62" s="6" t="s">
        <v>53</v>
      </c>
      <c r="M62" s="63">
        <v>10000000</v>
      </c>
      <c r="N62" s="63">
        <v>2102199.06</v>
      </c>
      <c r="O62" s="63">
        <v>2102199.06</v>
      </c>
      <c r="P62" s="64">
        <f t="shared" si="2"/>
        <v>0.21021990600000001</v>
      </c>
    </row>
    <row r="63" spans="1:16" ht="96.6" customHeight="1" x14ac:dyDescent="0.25">
      <c r="A63" s="37" t="s">
        <v>90</v>
      </c>
      <c r="B63" s="32" t="s">
        <v>61</v>
      </c>
      <c r="C63" s="32" t="s">
        <v>30</v>
      </c>
      <c r="D63" s="32" t="s">
        <v>88</v>
      </c>
      <c r="E63" s="32" t="s">
        <v>32</v>
      </c>
      <c r="F63" s="32" t="s">
        <v>65</v>
      </c>
      <c r="G63" s="32" t="s">
        <v>28</v>
      </c>
      <c r="H63" s="32" t="s">
        <v>91</v>
      </c>
      <c r="I63" s="38" t="s">
        <v>0</v>
      </c>
      <c r="J63" s="38" t="s">
        <v>0</v>
      </c>
      <c r="K63" s="38" t="s">
        <v>0</v>
      </c>
      <c r="L63" s="38" t="s">
        <v>0</v>
      </c>
      <c r="M63" s="61">
        <f>M64</f>
        <v>21759350</v>
      </c>
      <c r="N63" s="61">
        <f t="shared" ref="N63:O63" si="17">N64</f>
        <v>20357094.48</v>
      </c>
      <c r="O63" s="61">
        <f t="shared" si="17"/>
        <v>20357094.479999997</v>
      </c>
      <c r="P63" s="62">
        <f t="shared" si="2"/>
        <v>0.93555618527207829</v>
      </c>
    </row>
    <row r="64" spans="1:16" ht="64.5" customHeight="1" x14ac:dyDescent="0.25">
      <c r="A64" s="37" t="s">
        <v>39</v>
      </c>
      <c r="B64" s="32" t="s">
        <v>61</v>
      </c>
      <c r="C64" s="32" t="s">
        <v>30</v>
      </c>
      <c r="D64" s="32" t="s">
        <v>88</v>
      </c>
      <c r="E64" s="32" t="s">
        <v>32</v>
      </c>
      <c r="F64" s="32" t="s">
        <v>65</v>
      </c>
      <c r="G64" s="32" t="s">
        <v>28</v>
      </c>
      <c r="H64" s="32" t="s">
        <v>91</v>
      </c>
      <c r="I64" s="32" t="s">
        <v>40</v>
      </c>
      <c r="J64" s="32" t="s">
        <v>0</v>
      </c>
      <c r="K64" s="32" t="s">
        <v>0</v>
      </c>
      <c r="L64" s="32" t="s">
        <v>0</v>
      </c>
      <c r="M64" s="61">
        <f>M65+M66</f>
        <v>21759350</v>
      </c>
      <c r="N64" s="61">
        <f t="shared" ref="N64:O64" si="18">N65+N66</f>
        <v>20357094.48</v>
      </c>
      <c r="O64" s="61">
        <f t="shared" si="18"/>
        <v>20357094.479999997</v>
      </c>
      <c r="P64" s="62">
        <f t="shared" si="2"/>
        <v>0.93555618527207829</v>
      </c>
    </row>
    <row r="65" spans="1:16" ht="54.75" customHeight="1" x14ac:dyDescent="0.25">
      <c r="A65" s="4" t="s">
        <v>92</v>
      </c>
      <c r="B65" s="5" t="s">
        <v>61</v>
      </c>
      <c r="C65" s="5" t="s">
        <v>30</v>
      </c>
      <c r="D65" s="5" t="s">
        <v>88</v>
      </c>
      <c r="E65" s="5" t="s">
        <v>32</v>
      </c>
      <c r="F65" s="5" t="s">
        <v>65</v>
      </c>
      <c r="G65" s="5" t="s">
        <v>28</v>
      </c>
      <c r="H65" s="5" t="s">
        <v>91</v>
      </c>
      <c r="I65" s="5" t="s">
        <v>40</v>
      </c>
      <c r="J65" s="6" t="s">
        <v>68</v>
      </c>
      <c r="K65" s="6" t="s">
        <v>89</v>
      </c>
      <c r="L65" s="6" t="s">
        <v>53</v>
      </c>
      <c r="M65" s="63">
        <f>8500000+3410874-2064814</f>
        <v>9846060</v>
      </c>
      <c r="N65" s="63">
        <v>9760140.8100000005</v>
      </c>
      <c r="O65" s="73">
        <v>9760140.8099999987</v>
      </c>
      <c r="P65" s="64">
        <f t="shared" si="2"/>
        <v>0.99127374909354593</v>
      </c>
    </row>
    <row r="66" spans="1:16" ht="54.75" customHeight="1" x14ac:dyDescent="0.25">
      <c r="A66" s="4" t="s">
        <v>93</v>
      </c>
      <c r="B66" s="5" t="s">
        <v>61</v>
      </c>
      <c r="C66" s="5" t="s">
        <v>30</v>
      </c>
      <c r="D66" s="5" t="s">
        <v>88</v>
      </c>
      <c r="E66" s="5" t="s">
        <v>32</v>
      </c>
      <c r="F66" s="5" t="s">
        <v>65</v>
      </c>
      <c r="G66" s="5" t="s">
        <v>28</v>
      </c>
      <c r="H66" s="5" t="s">
        <v>91</v>
      </c>
      <c r="I66" s="5" t="s">
        <v>40</v>
      </c>
      <c r="J66" s="6" t="s">
        <v>68</v>
      </c>
      <c r="K66" s="6" t="s">
        <v>89</v>
      </c>
      <c r="L66" s="6" t="s">
        <v>53</v>
      </c>
      <c r="M66" s="63">
        <f>8500000+3413290</f>
        <v>11913290</v>
      </c>
      <c r="N66" s="63">
        <v>10596953.67</v>
      </c>
      <c r="O66" s="63">
        <v>10596953.67</v>
      </c>
      <c r="P66" s="64">
        <f t="shared" si="2"/>
        <v>0.88950690111631636</v>
      </c>
    </row>
    <row r="67" spans="1:16" ht="31.2" x14ac:dyDescent="0.25">
      <c r="A67" s="37" t="s">
        <v>108</v>
      </c>
      <c r="B67" s="32" t="s">
        <v>89</v>
      </c>
      <c r="C67" s="32" t="s">
        <v>0</v>
      </c>
      <c r="D67" s="32" t="s">
        <v>0</v>
      </c>
      <c r="E67" s="32" t="s">
        <v>0</v>
      </c>
      <c r="F67" s="32" t="s">
        <v>0</v>
      </c>
      <c r="G67" s="32" t="s">
        <v>0</v>
      </c>
      <c r="H67" s="38" t="s">
        <v>0</v>
      </c>
      <c r="I67" s="38" t="s">
        <v>0</v>
      </c>
      <c r="J67" s="38" t="s">
        <v>0</v>
      </c>
      <c r="K67" s="38" t="s">
        <v>0</v>
      </c>
      <c r="L67" s="38" t="s">
        <v>0</v>
      </c>
      <c r="M67" s="61">
        <f>M68+M76</f>
        <v>65102702</v>
      </c>
      <c r="N67" s="61">
        <f t="shared" ref="N67:O67" si="19">N68+N76</f>
        <v>9443346.6799999997</v>
      </c>
      <c r="O67" s="61">
        <f t="shared" si="19"/>
        <v>65102702</v>
      </c>
      <c r="P67" s="62">
        <f t="shared" si="2"/>
        <v>1</v>
      </c>
    </row>
    <row r="68" spans="1:16" ht="31.2" x14ac:dyDescent="0.25">
      <c r="A68" s="37" t="s">
        <v>109</v>
      </c>
      <c r="B68" s="32" t="s">
        <v>89</v>
      </c>
      <c r="C68" s="32" t="s">
        <v>30</v>
      </c>
      <c r="D68" s="32" t="s">
        <v>24</v>
      </c>
      <c r="E68" s="32" t="s">
        <v>0</v>
      </c>
      <c r="F68" s="32" t="s">
        <v>0</v>
      </c>
      <c r="G68" s="32" t="s">
        <v>0</v>
      </c>
      <c r="H68" s="38" t="s">
        <v>0</v>
      </c>
      <c r="I68" s="38" t="s">
        <v>0</v>
      </c>
      <c r="J68" s="38" t="s">
        <v>0</v>
      </c>
      <c r="K68" s="38" t="s">
        <v>0</v>
      </c>
      <c r="L68" s="38" t="s">
        <v>0</v>
      </c>
      <c r="M68" s="61">
        <f t="shared" ref="M68:O74" si="20">M69</f>
        <v>42000000</v>
      </c>
      <c r="N68" s="61">
        <f t="shared" si="20"/>
        <v>302150.68</v>
      </c>
      <c r="O68" s="61">
        <f t="shared" si="20"/>
        <v>42000000</v>
      </c>
      <c r="P68" s="62">
        <f t="shared" si="2"/>
        <v>1</v>
      </c>
    </row>
    <row r="69" spans="1:16" ht="15.6" x14ac:dyDescent="0.25">
      <c r="A69" s="37" t="s">
        <v>110</v>
      </c>
      <c r="B69" s="32" t="s">
        <v>89</v>
      </c>
      <c r="C69" s="32" t="s">
        <v>30</v>
      </c>
      <c r="D69" s="32" t="s">
        <v>24</v>
      </c>
      <c r="E69" s="32" t="s">
        <v>111</v>
      </c>
      <c r="F69" s="32" t="s">
        <v>0</v>
      </c>
      <c r="G69" s="32" t="s">
        <v>0</v>
      </c>
      <c r="H69" s="38" t="s">
        <v>0</v>
      </c>
      <c r="I69" s="38" t="s">
        <v>0</v>
      </c>
      <c r="J69" s="38" t="s">
        <v>0</v>
      </c>
      <c r="K69" s="38" t="s">
        <v>0</v>
      </c>
      <c r="L69" s="38" t="s">
        <v>0</v>
      </c>
      <c r="M69" s="61">
        <f t="shared" si="20"/>
        <v>42000000</v>
      </c>
      <c r="N69" s="61">
        <f t="shared" si="20"/>
        <v>302150.68</v>
      </c>
      <c r="O69" s="61">
        <f t="shared" si="20"/>
        <v>42000000</v>
      </c>
      <c r="P69" s="62">
        <f t="shared" si="2"/>
        <v>1</v>
      </c>
    </row>
    <row r="70" spans="1:16" ht="62.4" x14ac:dyDescent="0.25">
      <c r="A70" s="37" t="s">
        <v>112</v>
      </c>
      <c r="B70" s="32" t="s">
        <v>89</v>
      </c>
      <c r="C70" s="32" t="s">
        <v>30</v>
      </c>
      <c r="D70" s="32" t="s">
        <v>24</v>
      </c>
      <c r="E70" s="32" t="s">
        <v>111</v>
      </c>
      <c r="F70" s="32" t="s">
        <v>0</v>
      </c>
      <c r="G70" s="32" t="s">
        <v>0</v>
      </c>
      <c r="H70" s="38" t="s">
        <v>0</v>
      </c>
      <c r="I70" s="38" t="s">
        <v>0</v>
      </c>
      <c r="J70" s="38" t="s">
        <v>0</v>
      </c>
      <c r="K70" s="38" t="s">
        <v>0</v>
      </c>
      <c r="L70" s="38" t="s">
        <v>0</v>
      </c>
      <c r="M70" s="61">
        <f t="shared" si="20"/>
        <v>42000000</v>
      </c>
      <c r="N70" s="61">
        <f t="shared" si="20"/>
        <v>302150.68</v>
      </c>
      <c r="O70" s="61">
        <f t="shared" si="20"/>
        <v>42000000</v>
      </c>
      <c r="P70" s="62">
        <f t="shared" si="2"/>
        <v>1</v>
      </c>
    </row>
    <row r="71" spans="1:16" ht="15.6" x14ac:dyDescent="0.25">
      <c r="A71" s="36" t="s">
        <v>113</v>
      </c>
      <c r="B71" s="32" t="s">
        <v>89</v>
      </c>
      <c r="C71" s="32" t="s">
        <v>30</v>
      </c>
      <c r="D71" s="32" t="s">
        <v>24</v>
      </c>
      <c r="E71" s="32" t="s">
        <v>111</v>
      </c>
      <c r="F71" s="32" t="s">
        <v>114</v>
      </c>
      <c r="G71" s="32" t="s">
        <v>0</v>
      </c>
      <c r="H71" s="32" t="s">
        <v>0</v>
      </c>
      <c r="I71" s="32" t="s">
        <v>0</v>
      </c>
      <c r="J71" s="32" t="s">
        <v>0</v>
      </c>
      <c r="K71" s="32" t="s">
        <v>0</v>
      </c>
      <c r="L71" s="32" t="s">
        <v>0</v>
      </c>
      <c r="M71" s="61">
        <f t="shared" si="20"/>
        <v>42000000</v>
      </c>
      <c r="N71" s="61">
        <f t="shared" si="20"/>
        <v>302150.68</v>
      </c>
      <c r="O71" s="61">
        <f t="shared" si="20"/>
        <v>42000000</v>
      </c>
      <c r="P71" s="62">
        <f t="shared" ref="P71:P134" si="21">O71/M71</f>
        <v>1</v>
      </c>
    </row>
    <row r="72" spans="1:16" ht="15.6" x14ac:dyDescent="0.25">
      <c r="A72" s="36" t="s">
        <v>115</v>
      </c>
      <c r="B72" s="32" t="s">
        <v>89</v>
      </c>
      <c r="C72" s="32" t="s">
        <v>30</v>
      </c>
      <c r="D72" s="32" t="s">
        <v>24</v>
      </c>
      <c r="E72" s="32" t="s">
        <v>111</v>
      </c>
      <c r="F72" s="32" t="s">
        <v>114</v>
      </c>
      <c r="G72" s="32" t="s">
        <v>71</v>
      </c>
      <c r="H72" s="32" t="s">
        <v>0</v>
      </c>
      <c r="I72" s="32" t="s">
        <v>0</v>
      </c>
      <c r="J72" s="32" t="s">
        <v>0</v>
      </c>
      <c r="K72" s="32" t="s">
        <v>0</v>
      </c>
      <c r="L72" s="32" t="s">
        <v>0</v>
      </c>
      <c r="M72" s="61">
        <f t="shared" si="20"/>
        <v>42000000</v>
      </c>
      <c r="N72" s="61">
        <f t="shared" si="20"/>
        <v>302150.68</v>
      </c>
      <c r="O72" s="61">
        <f t="shared" si="20"/>
        <v>42000000</v>
      </c>
      <c r="P72" s="62">
        <f t="shared" si="21"/>
        <v>1</v>
      </c>
    </row>
    <row r="73" spans="1:16" ht="46.8" x14ac:dyDescent="0.25">
      <c r="A73" s="37" t="s">
        <v>37</v>
      </c>
      <c r="B73" s="32" t="s">
        <v>89</v>
      </c>
      <c r="C73" s="32" t="s">
        <v>30</v>
      </c>
      <c r="D73" s="32" t="s">
        <v>24</v>
      </c>
      <c r="E73" s="32" t="s">
        <v>111</v>
      </c>
      <c r="F73" s="32" t="s">
        <v>114</v>
      </c>
      <c r="G73" s="32" t="s">
        <v>71</v>
      </c>
      <c r="H73" s="32" t="s">
        <v>38</v>
      </c>
      <c r="I73" s="38" t="s">
        <v>0</v>
      </c>
      <c r="J73" s="38" t="s">
        <v>0</v>
      </c>
      <c r="K73" s="38" t="s">
        <v>0</v>
      </c>
      <c r="L73" s="38" t="s">
        <v>0</v>
      </c>
      <c r="M73" s="61">
        <f t="shared" si="20"/>
        <v>42000000</v>
      </c>
      <c r="N73" s="61">
        <f t="shared" si="20"/>
        <v>302150.68</v>
      </c>
      <c r="O73" s="61">
        <f t="shared" si="20"/>
        <v>42000000</v>
      </c>
      <c r="P73" s="62">
        <f t="shared" si="21"/>
        <v>1</v>
      </c>
    </row>
    <row r="74" spans="1:16" ht="78" x14ac:dyDescent="0.25">
      <c r="A74" s="37" t="s">
        <v>116</v>
      </c>
      <c r="B74" s="32" t="s">
        <v>89</v>
      </c>
      <c r="C74" s="32" t="s">
        <v>30</v>
      </c>
      <c r="D74" s="32" t="s">
        <v>24</v>
      </c>
      <c r="E74" s="32" t="s">
        <v>111</v>
      </c>
      <c r="F74" s="32" t="s">
        <v>114</v>
      </c>
      <c r="G74" s="32" t="s">
        <v>71</v>
      </c>
      <c r="H74" s="32" t="s">
        <v>38</v>
      </c>
      <c r="I74" s="32" t="s">
        <v>117</v>
      </c>
      <c r="J74" s="32" t="s">
        <v>0</v>
      </c>
      <c r="K74" s="32" t="s">
        <v>0</v>
      </c>
      <c r="L74" s="32" t="s">
        <v>0</v>
      </c>
      <c r="M74" s="61">
        <f t="shared" si="20"/>
        <v>42000000</v>
      </c>
      <c r="N74" s="61">
        <f t="shared" si="20"/>
        <v>302150.68</v>
      </c>
      <c r="O74" s="61">
        <f t="shared" si="20"/>
        <v>42000000</v>
      </c>
      <c r="P74" s="62">
        <f t="shared" si="21"/>
        <v>1</v>
      </c>
    </row>
    <row r="75" spans="1:16" s="59" customFormat="1" ht="53.25" customHeight="1" x14ac:dyDescent="0.25">
      <c r="A75" s="70" t="s">
        <v>118</v>
      </c>
      <c r="B75" s="71" t="s">
        <v>89</v>
      </c>
      <c r="C75" s="71" t="s">
        <v>30</v>
      </c>
      <c r="D75" s="71" t="s">
        <v>24</v>
      </c>
      <c r="E75" s="71" t="s">
        <v>111</v>
      </c>
      <c r="F75" s="71" t="s">
        <v>114</v>
      </c>
      <c r="G75" s="71" t="s">
        <v>71</v>
      </c>
      <c r="H75" s="71" t="s">
        <v>38</v>
      </c>
      <c r="I75" s="71" t="s">
        <v>117</v>
      </c>
      <c r="J75" s="72" t="s">
        <v>119</v>
      </c>
      <c r="K75" s="72" t="s">
        <v>120</v>
      </c>
      <c r="L75" s="72" t="s">
        <v>53</v>
      </c>
      <c r="M75" s="73">
        <v>42000000</v>
      </c>
      <c r="N75" s="73">
        <v>302150.68</v>
      </c>
      <c r="O75" s="73">
        <v>42000000</v>
      </c>
      <c r="P75" s="74">
        <f t="shared" si="21"/>
        <v>1</v>
      </c>
    </row>
    <row r="76" spans="1:16" ht="31.2" x14ac:dyDescent="0.25">
      <c r="A76" s="37" t="s">
        <v>121</v>
      </c>
      <c r="B76" s="32" t="s">
        <v>89</v>
      </c>
      <c r="C76" s="32" t="s">
        <v>30</v>
      </c>
      <c r="D76" s="32" t="s">
        <v>458</v>
      </c>
      <c r="E76" s="32" t="s">
        <v>0</v>
      </c>
      <c r="F76" s="32" t="s">
        <v>0</v>
      </c>
      <c r="G76" s="32" t="s">
        <v>0</v>
      </c>
      <c r="H76" s="38" t="s">
        <v>0</v>
      </c>
      <c r="I76" s="38" t="s">
        <v>0</v>
      </c>
      <c r="J76" s="38" t="s">
        <v>0</v>
      </c>
      <c r="K76" s="38" t="s">
        <v>0</v>
      </c>
      <c r="L76" s="38" t="s">
        <v>0</v>
      </c>
      <c r="M76" s="61">
        <f>M77</f>
        <v>23102702</v>
      </c>
      <c r="N76" s="61">
        <f t="shared" ref="N76:O76" si="22">N77</f>
        <v>9141196</v>
      </c>
      <c r="O76" s="61">
        <f t="shared" si="22"/>
        <v>23102702</v>
      </c>
      <c r="P76" s="62">
        <f t="shared" si="21"/>
        <v>1</v>
      </c>
    </row>
    <row r="77" spans="1:16" ht="15.6" x14ac:dyDescent="0.25">
      <c r="A77" s="37" t="s">
        <v>110</v>
      </c>
      <c r="B77" s="32" t="s">
        <v>89</v>
      </c>
      <c r="C77" s="32" t="s">
        <v>30</v>
      </c>
      <c r="D77" s="32" t="s">
        <v>458</v>
      </c>
      <c r="E77" s="32" t="s">
        <v>111</v>
      </c>
      <c r="F77" s="32" t="s">
        <v>0</v>
      </c>
      <c r="G77" s="32" t="s">
        <v>0</v>
      </c>
      <c r="H77" s="38" t="s">
        <v>0</v>
      </c>
      <c r="I77" s="38" t="s">
        <v>0</v>
      </c>
      <c r="J77" s="38" t="s">
        <v>0</v>
      </c>
      <c r="K77" s="38" t="s">
        <v>0</v>
      </c>
      <c r="L77" s="38" t="s">
        <v>0</v>
      </c>
      <c r="M77" s="61">
        <f>M78+M84+M90</f>
        <v>23102702</v>
      </c>
      <c r="N77" s="61">
        <f t="shared" ref="N77:O77" si="23">N78+N84+N90</f>
        <v>9141196</v>
      </c>
      <c r="O77" s="61">
        <f t="shared" si="23"/>
        <v>23102702</v>
      </c>
      <c r="P77" s="62">
        <f t="shared" si="21"/>
        <v>1</v>
      </c>
    </row>
    <row r="78" spans="1:16" ht="62.4" x14ac:dyDescent="0.25">
      <c r="A78" s="37" t="s">
        <v>122</v>
      </c>
      <c r="B78" s="32" t="s">
        <v>89</v>
      </c>
      <c r="C78" s="32" t="s">
        <v>30</v>
      </c>
      <c r="D78" s="32" t="s">
        <v>458</v>
      </c>
      <c r="E78" s="32" t="s">
        <v>111</v>
      </c>
      <c r="F78" s="32" t="s">
        <v>0</v>
      </c>
      <c r="G78" s="32" t="s">
        <v>0</v>
      </c>
      <c r="H78" s="38" t="s">
        <v>0</v>
      </c>
      <c r="I78" s="38" t="s">
        <v>0</v>
      </c>
      <c r="J78" s="38" t="s">
        <v>0</v>
      </c>
      <c r="K78" s="38" t="s">
        <v>0</v>
      </c>
      <c r="L78" s="38" t="s">
        <v>0</v>
      </c>
      <c r="M78" s="61">
        <f>M79</f>
        <v>5500000</v>
      </c>
      <c r="N78" s="61">
        <f t="shared" ref="N78:O82" si="24">N79</f>
        <v>1506141</v>
      </c>
      <c r="O78" s="61">
        <f t="shared" si="24"/>
        <v>5500000</v>
      </c>
      <c r="P78" s="62">
        <f t="shared" si="21"/>
        <v>1</v>
      </c>
    </row>
    <row r="79" spans="1:16" ht="15.6" x14ac:dyDescent="0.25">
      <c r="A79" s="36" t="s">
        <v>113</v>
      </c>
      <c r="B79" s="32" t="s">
        <v>89</v>
      </c>
      <c r="C79" s="32" t="s">
        <v>30</v>
      </c>
      <c r="D79" s="32" t="s">
        <v>458</v>
      </c>
      <c r="E79" s="32" t="s">
        <v>111</v>
      </c>
      <c r="F79" s="32" t="s">
        <v>114</v>
      </c>
      <c r="G79" s="32" t="s">
        <v>0</v>
      </c>
      <c r="H79" s="32" t="s">
        <v>0</v>
      </c>
      <c r="I79" s="32" t="s">
        <v>0</v>
      </c>
      <c r="J79" s="32" t="s">
        <v>0</v>
      </c>
      <c r="K79" s="32" t="s">
        <v>0</v>
      </c>
      <c r="L79" s="32" t="s">
        <v>0</v>
      </c>
      <c r="M79" s="61">
        <f>M80</f>
        <v>5500000</v>
      </c>
      <c r="N79" s="61">
        <f t="shared" si="24"/>
        <v>1506141</v>
      </c>
      <c r="O79" s="61">
        <f t="shared" si="24"/>
        <v>5500000</v>
      </c>
      <c r="P79" s="62">
        <f t="shared" si="21"/>
        <v>1</v>
      </c>
    </row>
    <row r="80" spans="1:16" ht="15.6" x14ac:dyDescent="0.25">
      <c r="A80" s="36" t="s">
        <v>115</v>
      </c>
      <c r="B80" s="32" t="s">
        <v>89</v>
      </c>
      <c r="C80" s="32" t="s">
        <v>30</v>
      </c>
      <c r="D80" s="32" t="s">
        <v>458</v>
      </c>
      <c r="E80" s="32" t="s">
        <v>111</v>
      </c>
      <c r="F80" s="32" t="s">
        <v>114</v>
      </c>
      <c r="G80" s="32" t="s">
        <v>71</v>
      </c>
      <c r="H80" s="32" t="s">
        <v>0</v>
      </c>
      <c r="I80" s="32" t="s">
        <v>0</v>
      </c>
      <c r="J80" s="32" t="s">
        <v>0</v>
      </c>
      <c r="K80" s="32" t="s">
        <v>0</v>
      </c>
      <c r="L80" s="32" t="s">
        <v>0</v>
      </c>
      <c r="M80" s="61">
        <f>M81</f>
        <v>5500000</v>
      </c>
      <c r="N80" s="61">
        <f t="shared" si="24"/>
        <v>1506141</v>
      </c>
      <c r="O80" s="61">
        <f t="shared" si="24"/>
        <v>5500000</v>
      </c>
      <c r="P80" s="62">
        <f t="shared" si="21"/>
        <v>1</v>
      </c>
    </row>
    <row r="81" spans="1:16" ht="31.2" x14ac:dyDescent="0.25">
      <c r="A81" s="37" t="s">
        <v>123</v>
      </c>
      <c r="B81" s="32" t="s">
        <v>89</v>
      </c>
      <c r="C81" s="32" t="s">
        <v>30</v>
      </c>
      <c r="D81" s="32" t="s">
        <v>458</v>
      </c>
      <c r="E81" s="32" t="s">
        <v>111</v>
      </c>
      <c r="F81" s="32" t="s">
        <v>114</v>
      </c>
      <c r="G81" s="32" t="s">
        <v>71</v>
      </c>
      <c r="H81" s="32" t="s">
        <v>124</v>
      </c>
      <c r="I81" s="38" t="s">
        <v>0</v>
      </c>
      <c r="J81" s="38" t="s">
        <v>0</v>
      </c>
      <c r="K81" s="38" t="s">
        <v>0</v>
      </c>
      <c r="L81" s="38" t="s">
        <v>0</v>
      </c>
      <c r="M81" s="61">
        <f>M82</f>
        <v>5500000</v>
      </c>
      <c r="N81" s="61">
        <f t="shared" si="24"/>
        <v>1506141</v>
      </c>
      <c r="O81" s="61">
        <f t="shared" si="24"/>
        <v>5500000</v>
      </c>
      <c r="P81" s="62">
        <f t="shared" si="21"/>
        <v>1</v>
      </c>
    </row>
    <row r="82" spans="1:16" ht="78" x14ac:dyDescent="0.25">
      <c r="A82" s="37" t="s">
        <v>125</v>
      </c>
      <c r="B82" s="32" t="s">
        <v>89</v>
      </c>
      <c r="C82" s="32" t="s">
        <v>30</v>
      </c>
      <c r="D82" s="32" t="s">
        <v>458</v>
      </c>
      <c r="E82" s="32" t="s">
        <v>111</v>
      </c>
      <c r="F82" s="32" t="s">
        <v>114</v>
      </c>
      <c r="G82" s="32" t="s">
        <v>71</v>
      </c>
      <c r="H82" s="32" t="s">
        <v>124</v>
      </c>
      <c r="I82" s="32" t="s">
        <v>126</v>
      </c>
      <c r="J82" s="32" t="s">
        <v>0</v>
      </c>
      <c r="K82" s="32" t="s">
        <v>0</v>
      </c>
      <c r="L82" s="32" t="s">
        <v>0</v>
      </c>
      <c r="M82" s="61">
        <f>M83</f>
        <v>5500000</v>
      </c>
      <c r="N82" s="61">
        <f t="shared" si="24"/>
        <v>1506141</v>
      </c>
      <c r="O82" s="61">
        <f t="shared" si="24"/>
        <v>5500000</v>
      </c>
      <c r="P82" s="62">
        <f t="shared" si="21"/>
        <v>1</v>
      </c>
    </row>
    <row r="83" spans="1:16" s="59" customFormat="1" ht="55.5" customHeight="1" x14ac:dyDescent="0.25">
      <c r="A83" s="70" t="s">
        <v>127</v>
      </c>
      <c r="B83" s="71" t="s">
        <v>89</v>
      </c>
      <c r="C83" s="71" t="s">
        <v>30</v>
      </c>
      <c r="D83" s="71" t="s">
        <v>458</v>
      </c>
      <c r="E83" s="71" t="s">
        <v>111</v>
      </c>
      <c r="F83" s="71" t="s">
        <v>114</v>
      </c>
      <c r="G83" s="71" t="s">
        <v>71</v>
      </c>
      <c r="H83" s="71" t="s">
        <v>124</v>
      </c>
      <c r="I83" s="71" t="s">
        <v>126</v>
      </c>
      <c r="J83" s="72" t="s">
        <v>119</v>
      </c>
      <c r="K83" s="72" t="s">
        <v>128</v>
      </c>
      <c r="L83" s="72" t="s">
        <v>41</v>
      </c>
      <c r="M83" s="73">
        <v>5500000</v>
      </c>
      <c r="N83" s="73">
        <v>1506141</v>
      </c>
      <c r="O83" s="73">
        <v>5500000</v>
      </c>
      <c r="P83" s="74">
        <f t="shared" si="21"/>
        <v>1</v>
      </c>
    </row>
    <row r="84" spans="1:16" ht="62.4" x14ac:dyDescent="0.25">
      <c r="A84" s="37" t="s">
        <v>112</v>
      </c>
      <c r="B84" s="32" t="s">
        <v>89</v>
      </c>
      <c r="C84" s="32" t="s">
        <v>30</v>
      </c>
      <c r="D84" s="32" t="s">
        <v>458</v>
      </c>
      <c r="E84" s="32" t="s">
        <v>111</v>
      </c>
      <c r="F84" s="32" t="s">
        <v>0</v>
      </c>
      <c r="G84" s="32" t="s">
        <v>0</v>
      </c>
      <c r="H84" s="38" t="s">
        <v>0</v>
      </c>
      <c r="I84" s="38" t="s">
        <v>0</v>
      </c>
      <c r="J84" s="38" t="s">
        <v>0</v>
      </c>
      <c r="K84" s="38" t="s">
        <v>0</v>
      </c>
      <c r="L84" s="38" t="s">
        <v>0</v>
      </c>
      <c r="M84" s="61">
        <f>M85</f>
        <v>3863060</v>
      </c>
      <c r="N84" s="61">
        <f t="shared" ref="N84:O88" si="25">N85</f>
        <v>0</v>
      </c>
      <c r="O84" s="61">
        <f t="shared" si="25"/>
        <v>3863060</v>
      </c>
      <c r="P84" s="62">
        <f t="shared" si="21"/>
        <v>1</v>
      </c>
    </row>
    <row r="85" spans="1:16" ht="15.6" x14ac:dyDescent="0.25">
      <c r="A85" s="36" t="s">
        <v>113</v>
      </c>
      <c r="B85" s="32" t="s">
        <v>89</v>
      </c>
      <c r="C85" s="32" t="s">
        <v>30</v>
      </c>
      <c r="D85" s="32" t="s">
        <v>458</v>
      </c>
      <c r="E85" s="32" t="s">
        <v>111</v>
      </c>
      <c r="F85" s="32" t="s">
        <v>114</v>
      </c>
      <c r="G85" s="32" t="s">
        <v>0</v>
      </c>
      <c r="H85" s="32" t="s">
        <v>0</v>
      </c>
      <c r="I85" s="32" t="s">
        <v>0</v>
      </c>
      <c r="J85" s="32" t="s">
        <v>0</v>
      </c>
      <c r="K85" s="32" t="s">
        <v>0</v>
      </c>
      <c r="L85" s="32" t="s">
        <v>0</v>
      </c>
      <c r="M85" s="61">
        <f>M86</f>
        <v>3863060</v>
      </c>
      <c r="N85" s="61">
        <f t="shared" si="25"/>
        <v>0</v>
      </c>
      <c r="O85" s="61">
        <f t="shared" si="25"/>
        <v>3863060</v>
      </c>
      <c r="P85" s="62">
        <f t="shared" si="21"/>
        <v>1</v>
      </c>
    </row>
    <row r="86" spans="1:16" ht="15.6" x14ac:dyDescent="0.25">
      <c r="A86" s="36" t="s">
        <v>115</v>
      </c>
      <c r="B86" s="32" t="s">
        <v>89</v>
      </c>
      <c r="C86" s="32" t="s">
        <v>30</v>
      </c>
      <c r="D86" s="32" t="s">
        <v>458</v>
      </c>
      <c r="E86" s="32" t="s">
        <v>111</v>
      </c>
      <c r="F86" s="32" t="s">
        <v>114</v>
      </c>
      <c r="G86" s="32" t="s">
        <v>71</v>
      </c>
      <c r="H86" s="32" t="s">
        <v>0</v>
      </c>
      <c r="I86" s="32" t="s">
        <v>0</v>
      </c>
      <c r="J86" s="32" t="s">
        <v>0</v>
      </c>
      <c r="K86" s="32" t="s">
        <v>0</v>
      </c>
      <c r="L86" s="32" t="s">
        <v>0</v>
      </c>
      <c r="M86" s="61">
        <f>M87</f>
        <v>3863060</v>
      </c>
      <c r="N86" s="61">
        <f t="shared" si="25"/>
        <v>0</v>
      </c>
      <c r="O86" s="61">
        <f t="shared" si="25"/>
        <v>3863060</v>
      </c>
      <c r="P86" s="62">
        <f t="shared" si="21"/>
        <v>1</v>
      </c>
    </row>
    <row r="87" spans="1:16" ht="46.8" x14ac:dyDescent="0.25">
      <c r="A87" s="37" t="s">
        <v>129</v>
      </c>
      <c r="B87" s="32" t="s">
        <v>89</v>
      </c>
      <c r="C87" s="32" t="s">
        <v>30</v>
      </c>
      <c r="D87" s="32" t="s">
        <v>458</v>
      </c>
      <c r="E87" s="32" t="s">
        <v>111</v>
      </c>
      <c r="F87" s="32" t="s">
        <v>114</v>
      </c>
      <c r="G87" s="32" t="s">
        <v>71</v>
      </c>
      <c r="H87" s="32" t="s">
        <v>130</v>
      </c>
      <c r="I87" s="38" t="s">
        <v>0</v>
      </c>
      <c r="J87" s="38" t="s">
        <v>0</v>
      </c>
      <c r="K87" s="38" t="s">
        <v>0</v>
      </c>
      <c r="L87" s="38" t="s">
        <v>0</v>
      </c>
      <c r="M87" s="61">
        <f>M88</f>
        <v>3863060</v>
      </c>
      <c r="N87" s="61">
        <f t="shared" si="25"/>
        <v>0</v>
      </c>
      <c r="O87" s="61">
        <f t="shared" si="25"/>
        <v>3863060</v>
      </c>
      <c r="P87" s="62">
        <f t="shared" si="21"/>
        <v>1</v>
      </c>
    </row>
    <row r="88" spans="1:16" ht="78" x14ac:dyDescent="0.25">
      <c r="A88" s="37" t="s">
        <v>116</v>
      </c>
      <c r="B88" s="32" t="s">
        <v>89</v>
      </c>
      <c r="C88" s="32" t="s">
        <v>30</v>
      </c>
      <c r="D88" s="32" t="s">
        <v>458</v>
      </c>
      <c r="E88" s="32" t="s">
        <v>111</v>
      </c>
      <c r="F88" s="32" t="s">
        <v>114</v>
      </c>
      <c r="G88" s="32" t="s">
        <v>71</v>
      </c>
      <c r="H88" s="32" t="s">
        <v>130</v>
      </c>
      <c r="I88" s="32" t="s">
        <v>117</v>
      </c>
      <c r="J88" s="32" t="s">
        <v>0</v>
      </c>
      <c r="K88" s="32" t="s">
        <v>0</v>
      </c>
      <c r="L88" s="32" t="s">
        <v>0</v>
      </c>
      <c r="M88" s="61">
        <f>M89</f>
        <v>3863060</v>
      </c>
      <c r="N88" s="61">
        <f t="shared" si="25"/>
        <v>0</v>
      </c>
      <c r="O88" s="61">
        <f t="shared" si="25"/>
        <v>3863060</v>
      </c>
      <c r="P88" s="62">
        <f t="shared" si="21"/>
        <v>1</v>
      </c>
    </row>
    <row r="89" spans="1:16" s="59" customFormat="1" ht="46.8" x14ac:dyDescent="0.25">
      <c r="A89" s="70" t="s">
        <v>131</v>
      </c>
      <c r="B89" s="71" t="s">
        <v>89</v>
      </c>
      <c r="C89" s="71" t="s">
        <v>30</v>
      </c>
      <c r="D89" s="71" t="s">
        <v>458</v>
      </c>
      <c r="E89" s="71" t="s">
        <v>111</v>
      </c>
      <c r="F89" s="71" t="s">
        <v>114</v>
      </c>
      <c r="G89" s="71" t="s">
        <v>71</v>
      </c>
      <c r="H89" s="71" t="s">
        <v>130</v>
      </c>
      <c r="I89" s="71" t="s">
        <v>117</v>
      </c>
      <c r="J89" s="72" t="s">
        <v>119</v>
      </c>
      <c r="K89" s="72" t="s">
        <v>132</v>
      </c>
      <c r="L89" s="72" t="s">
        <v>53</v>
      </c>
      <c r="M89" s="73">
        <v>3863060</v>
      </c>
      <c r="N89" s="73">
        <v>0</v>
      </c>
      <c r="O89" s="73">
        <v>3863060</v>
      </c>
      <c r="P89" s="74">
        <f t="shared" si="21"/>
        <v>1</v>
      </c>
    </row>
    <row r="90" spans="1:16" ht="62.4" x14ac:dyDescent="0.25">
      <c r="A90" s="37" t="s">
        <v>133</v>
      </c>
      <c r="B90" s="32" t="s">
        <v>89</v>
      </c>
      <c r="C90" s="32" t="s">
        <v>30</v>
      </c>
      <c r="D90" s="32" t="s">
        <v>458</v>
      </c>
      <c r="E90" s="32" t="s">
        <v>111</v>
      </c>
      <c r="F90" s="32" t="s">
        <v>0</v>
      </c>
      <c r="G90" s="32" t="s">
        <v>0</v>
      </c>
      <c r="H90" s="38" t="s">
        <v>0</v>
      </c>
      <c r="I90" s="38" t="s">
        <v>0</v>
      </c>
      <c r="J90" s="38" t="s">
        <v>0</v>
      </c>
      <c r="K90" s="38" t="s">
        <v>0</v>
      </c>
      <c r="L90" s="38" t="s">
        <v>0</v>
      </c>
      <c r="M90" s="61">
        <f>M91</f>
        <v>13739642</v>
      </c>
      <c r="N90" s="61">
        <f t="shared" ref="N90:O94" si="26">N91</f>
        <v>7635055</v>
      </c>
      <c r="O90" s="61">
        <f t="shared" si="26"/>
        <v>13739642</v>
      </c>
      <c r="P90" s="62">
        <f t="shared" si="21"/>
        <v>1</v>
      </c>
    </row>
    <row r="91" spans="1:16" ht="15.6" x14ac:dyDescent="0.25">
      <c r="A91" s="36" t="s">
        <v>113</v>
      </c>
      <c r="B91" s="32" t="s">
        <v>89</v>
      </c>
      <c r="C91" s="32" t="s">
        <v>30</v>
      </c>
      <c r="D91" s="32" t="s">
        <v>458</v>
      </c>
      <c r="E91" s="32" t="s">
        <v>111</v>
      </c>
      <c r="F91" s="32" t="s">
        <v>114</v>
      </c>
      <c r="G91" s="32" t="s">
        <v>0</v>
      </c>
      <c r="H91" s="32" t="s">
        <v>0</v>
      </c>
      <c r="I91" s="32" t="s">
        <v>0</v>
      </c>
      <c r="J91" s="32" t="s">
        <v>0</v>
      </c>
      <c r="K91" s="32" t="s">
        <v>0</v>
      </c>
      <c r="L91" s="32" t="s">
        <v>0</v>
      </c>
      <c r="M91" s="61">
        <f>M92</f>
        <v>13739642</v>
      </c>
      <c r="N91" s="61">
        <f t="shared" si="26"/>
        <v>7635055</v>
      </c>
      <c r="O91" s="61">
        <f t="shared" si="26"/>
        <v>13739642</v>
      </c>
      <c r="P91" s="62">
        <f t="shared" si="21"/>
        <v>1</v>
      </c>
    </row>
    <row r="92" spans="1:16" ht="15.6" x14ac:dyDescent="0.25">
      <c r="A92" s="36" t="s">
        <v>115</v>
      </c>
      <c r="B92" s="32" t="s">
        <v>89</v>
      </c>
      <c r="C92" s="32" t="s">
        <v>30</v>
      </c>
      <c r="D92" s="32" t="s">
        <v>458</v>
      </c>
      <c r="E92" s="32" t="s">
        <v>111</v>
      </c>
      <c r="F92" s="32" t="s">
        <v>114</v>
      </c>
      <c r="G92" s="32" t="s">
        <v>71</v>
      </c>
      <c r="H92" s="32" t="s">
        <v>0</v>
      </c>
      <c r="I92" s="32" t="s">
        <v>0</v>
      </c>
      <c r="J92" s="32" t="s">
        <v>0</v>
      </c>
      <c r="K92" s="32" t="s">
        <v>0</v>
      </c>
      <c r="L92" s="32" t="s">
        <v>0</v>
      </c>
      <c r="M92" s="61">
        <f>M93</f>
        <v>13739642</v>
      </c>
      <c r="N92" s="61">
        <f t="shared" si="26"/>
        <v>7635055</v>
      </c>
      <c r="O92" s="61">
        <f t="shared" si="26"/>
        <v>13739642</v>
      </c>
      <c r="P92" s="62">
        <f t="shared" si="21"/>
        <v>1</v>
      </c>
    </row>
    <row r="93" spans="1:16" ht="46.8" x14ac:dyDescent="0.25">
      <c r="A93" s="37" t="s">
        <v>129</v>
      </c>
      <c r="B93" s="32" t="s">
        <v>89</v>
      </c>
      <c r="C93" s="32" t="s">
        <v>30</v>
      </c>
      <c r="D93" s="32" t="s">
        <v>458</v>
      </c>
      <c r="E93" s="32" t="s">
        <v>111</v>
      </c>
      <c r="F93" s="32" t="s">
        <v>114</v>
      </c>
      <c r="G93" s="32" t="s">
        <v>71</v>
      </c>
      <c r="H93" s="32" t="s">
        <v>130</v>
      </c>
      <c r="I93" s="38" t="s">
        <v>0</v>
      </c>
      <c r="J93" s="38" t="s">
        <v>0</v>
      </c>
      <c r="K93" s="38" t="s">
        <v>0</v>
      </c>
      <c r="L93" s="38" t="s">
        <v>0</v>
      </c>
      <c r="M93" s="61">
        <f>M94</f>
        <v>13739642</v>
      </c>
      <c r="N93" s="61">
        <f t="shared" si="26"/>
        <v>7635055</v>
      </c>
      <c r="O93" s="61">
        <f t="shared" si="26"/>
        <v>13739642</v>
      </c>
      <c r="P93" s="62">
        <f t="shared" si="21"/>
        <v>1</v>
      </c>
    </row>
    <row r="94" spans="1:16" ht="78" x14ac:dyDescent="0.25">
      <c r="A94" s="37" t="s">
        <v>125</v>
      </c>
      <c r="B94" s="32" t="s">
        <v>89</v>
      </c>
      <c r="C94" s="32" t="s">
        <v>30</v>
      </c>
      <c r="D94" s="32" t="s">
        <v>458</v>
      </c>
      <c r="E94" s="32" t="s">
        <v>111</v>
      </c>
      <c r="F94" s="32" t="s">
        <v>114</v>
      </c>
      <c r="G94" s="32" t="s">
        <v>71</v>
      </c>
      <c r="H94" s="32" t="s">
        <v>130</v>
      </c>
      <c r="I94" s="32" t="s">
        <v>126</v>
      </c>
      <c r="J94" s="32" t="s">
        <v>0</v>
      </c>
      <c r="K94" s="32" t="s">
        <v>0</v>
      </c>
      <c r="L94" s="32" t="s">
        <v>0</v>
      </c>
      <c r="M94" s="61">
        <f>M95</f>
        <v>13739642</v>
      </c>
      <c r="N94" s="61">
        <f t="shared" si="26"/>
        <v>7635055</v>
      </c>
      <c r="O94" s="61">
        <f t="shared" si="26"/>
        <v>13739642</v>
      </c>
      <c r="P94" s="62">
        <f t="shared" si="21"/>
        <v>1</v>
      </c>
    </row>
    <row r="95" spans="1:16" s="59" customFormat="1" ht="31.2" x14ac:dyDescent="0.25">
      <c r="A95" s="70" t="s">
        <v>134</v>
      </c>
      <c r="B95" s="71" t="s">
        <v>89</v>
      </c>
      <c r="C95" s="71" t="s">
        <v>30</v>
      </c>
      <c r="D95" s="71" t="s">
        <v>458</v>
      </c>
      <c r="E95" s="71" t="s">
        <v>111</v>
      </c>
      <c r="F95" s="71" t="s">
        <v>114</v>
      </c>
      <c r="G95" s="71" t="s">
        <v>71</v>
      </c>
      <c r="H95" s="71" t="s">
        <v>130</v>
      </c>
      <c r="I95" s="71" t="s">
        <v>126</v>
      </c>
      <c r="J95" s="72" t="s">
        <v>469</v>
      </c>
      <c r="K95" s="72">
        <v>819</v>
      </c>
      <c r="L95" s="72">
        <v>2020</v>
      </c>
      <c r="M95" s="73">
        <v>13739642</v>
      </c>
      <c r="N95" s="73">
        <v>7635055</v>
      </c>
      <c r="O95" s="73">
        <v>13739642</v>
      </c>
      <c r="P95" s="74">
        <f t="shared" si="21"/>
        <v>1</v>
      </c>
    </row>
    <row r="96" spans="1:16" ht="32.25" customHeight="1" x14ac:dyDescent="0.25">
      <c r="A96" s="37" t="s">
        <v>135</v>
      </c>
      <c r="B96" s="32" t="s">
        <v>136</v>
      </c>
      <c r="C96" s="32" t="s">
        <v>0</v>
      </c>
      <c r="D96" s="32" t="s">
        <v>0</v>
      </c>
      <c r="E96" s="32" t="s">
        <v>0</v>
      </c>
      <c r="F96" s="32" t="s">
        <v>0</v>
      </c>
      <c r="G96" s="32" t="s">
        <v>0</v>
      </c>
      <c r="H96" s="38" t="s">
        <v>0</v>
      </c>
      <c r="I96" s="38" t="s">
        <v>0</v>
      </c>
      <c r="J96" s="38" t="s">
        <v>0</v>
      </c>
      <c r="K96" s="38" t="s">
        <v>0</v>
      </c>
      <c r="L96" s="38" t="s">
        <v>0</v>
      </c>
      <c r="M96" s="61">
        <f>M97</f>
        <v>116750758.15000001</v>
      </c>
      <c r="N96" s="61">
        <f t="shared" ref="N96:O99" si="27">N97</f>
        <v>82478684.649999991</v>
      </c>
      <c r="O96" s="61">
        <f t="shared" si="27"/>
        <v>83139003.289999992</v>
      </c>
      <c r="P96" s="62">
        <f t="shared" si="21"/>
        <v>0.71210675294445602</v>
      </c>
    </row>
    <row r="97" spans="1:16" ht="32.25" customHeight="1" x14ac:dyDescent="0.25">
      <c r="A97" s="37" t="s">
        <v>137</v>
      </c>
      <c r="B97" s="32" t="s">
        <v>136</v>
      </c>
      <c r="C97" s="32" t="s">
        <v>30</v>
      </c>
      <c r="D97" s="32" t="s">
        <v>61</v>
      </c>
      <c r="E97" s="32" t="s">
        <v>0</v>
      </c>
      <c r="F97" s="32" t="s">
        <v>0</v>
      </c>
      <c r="G97" s="32" t="s">
        <v>0</v>
      </c>
      <c r="H97" s="38" t="s">
        <v>0</v>
      </c>
      <c r="I97" s="38" t="s">
        <v>0</v>
      </c>
      <c r="J97" s="38" t="s">
        <v>0</v>
      </c>
      <c r="K97" s="38" t="s">
        <v>0</v>
      </c>
      <c r="L97" s="38" t="s">
        <v>0</v>
      </c>
      <c r="M97" s="61">
        <f>M98</f>
        <v>116750758.15000001</v>
      </c>
      <c r="N97" s="61">
        <f t="shared" si="27"/>
        <v>82478684.649999991</v>
      </c>
      <c r="O97" s="61">
        <f t="shared" si="27"/>
        <v>83139003.289999992</v>
      </c>
      <c r="P97" s="62">
        <f t="shared" si="21"/>
        <v>0.71210675294445602</v>
      </c>
    </row>
    <row r="98" spans="1:16" ht="32.25" customHeight="1" x14ac:dyDescent="0.25">
      <c r="A98" s="37" t="s">
        <v>31</v>
      </c>
      <c r="B98" s="32" t="s">
        <v>136</v>
      </c>
      <c r="C98" s="32" t="s">
        <v>30</v>
      </c>
      <c r="D98" s="32" t="s">
        <v>61</v>
      </c>
      <c r="E98" s="32" t="s">
        <v>32</v>
      </c>
      <c r="F98" s="32" t="s">
        <v>0</v>
      </c>
      <c r="G98" s="32" t="s">
        <v>0</v>
      </c>
      <c r="H98" s="38" t="s">
        <v>0</v>
      </c>
      <c r="I98" s="38" t="s">
        <v>0</v>
      </c>
      <c r="J98" s="38" t="s">
        <v>0</v>
      </c>
      <c r="K98" s="38" t="s">
        <v>0</v>
      </c>
      <c r="L98" s="38" t="s">
        <v>0</v>
      </c>
      <c r="M98" s="61">
        <f>M99</f>
        <v>116750758.15000001</v>
      </c>
      <c r="N98" s="61">
        <f t="shared" si="27"/>
        <v>82478684.649999991</v>
      </c>
      <c r="O98" s="61">
        <f t="shared" si="27"/>
        <v>83139003.289999992</v>
      </c>
      <c r="P98" s="62">
        <f t="shared" si="21"/>
        <v>0.71210675294445602</v>
      </c>
    </row>
    <row r="99" spans="1:16" ht="80.099999999999994" customHeight="1" x14ac:dyDescent="0.25">
      <c r="A99" s="37" t="s">
        <v>33</v>
      </c>
      <c r="B99" s="32" t="s">
        <v>136</v>
      </c>
      <c r="C99" s="32" t="s">
        <v>30</v>
      </c>
      <c r="D99" s="32" t="s">
        <v>61</v>
      </c>
      <c r="E99" s="32" t="s">
        <v>32</v>
      </c>
      <c r="F99" s="32" t="s">
        <v>0</v>
      </c>
      <c r="G99" s="32" t="s">
        <v>0</v>
      </c>
      <c r="H99" s="38" t="s">
        <v>0</v>
      </c>
      <c r="I99" s="38" t="s">
        <v>0</v>
      </c>
      <c r="J99" s="38" t="s">
        <v>0</v>
      </c>
      <c r="K99" s="38" t="s">
        <v>0</v>
      </c>
      <c r="L99" s="38" t="s">
        <v>0</v>
      </c>
      <c r="M99" s="61">
        <f>M100</f>
        <v>116750758.15000001</v>
      </c>
      <c r="N99" s="61">
        <f t="shared" si="27"/>
        <v>82478684.649999991</v>
      </c>
      <c r="O99" s="61">
        <f t="shared" si="27"/>
        <v>83139003.289999992</v>
      </c>
      <c r="P99" s="62">
        <f t="shared" si="21"/>
        <v>0.71210675294445602</v>
      </c>
    </row>
    <row r="100" spans="1:16" ht="15" customHeight="1" x14ac:dyDescent="0.25">
      <c r="A100" s="36" t="s">
        <v>138</v>
      </c>
      <c r="B100" s="32" t="s">
        <v>136</v>
      </c>
      <c r="C100" s="32" t="s">
        <v>30</v>
      </c>
      <c r="D100" s="32" t="s">
        <v>61</v>
      </c>
      <c r="E100" s="32" t="s">
        <v>32</v>
      </c>
      <c r="F100" s="32" t="s">
        <v>139</v>
      </c>
      <c r="G100" s="32" t="s">
        <v>0</v>
      </c>
      <c r="H100" s="32" t="s">
        <v>0</v>
      </c>
      <c r="I100" s="32" t="s">
        <v>0</v>
      </c>
      <c r="J100" s="32" t="s">
        <v>0</v>
      </c>
      <c r="K100" s="32" t="s">
        <v>0</v>
      </c>
      <c r="L100" s="32" t="s">
        <v>0</v>
      </c>
      <c r="M100" s="61">
        <f>M101+M105+M109</f>
        <v>116750758.15000001</v>
      </c>
      <c r="N100" s="61">
        <f t="shared" ref="N100:O100" si="28">N101+N105+N109</f>
        <v>82478684.649999991</v>
      </c>
      <c r="O100" s="61">
        <f t="shared" si="28"/>
        <v>83139003.289999992</v>
      </c>
      <c r="P100" s="62">
        <f t="shared" si="21"/>
        <v>0.71210675294445602</v>
      </c>
    </row>
    <row r="101" spans="1:16" ht="15" customHeight="1" x14ac:dyDescent="0.25">
      <c r="A101" s="36" t="s">
        <v>143</v>
      </c>
      <c r="B101" s="32" t="s">
        <v>136</v>
      </c>
      <c r="C101" s="32" t="s">
        <v>30</v>
      </c>
      <c r="D101" s="32" t="s">
        <v>61</v>
      </c>
      <c r="E101" s="32" t="s">
        <v>32</v>
      </c>
      <c r="F101" s="32" t="s">
        <v>139</v>
      </c>
      <c r="G101" s="32" t="s">
        <v>28</v>
      </c>
      <c r="H101" s="32" t="s">
        <v>0</v>
      </c>
      <c r="I101" s="32" t="s">
        <v>0</v>
      </c>
      <c r="J101" s="32" t="s">
        <v>0</v>
      </c>
      <c r="K101" s="32" t="s">
        <v>0</v>
      </c>
      <c r="L101" s="32" t="s">
        <v>0</v>
      </c>
      <c r="M101" s="61">
        <f>M102</f>
        <v>60831137.740000002</v>
      </c>
      <c r="N101" s="61">
        <f t="shared" ref="N101:O103" si="29">N102</f>
        <v>60823795.619999997</v>
      </c>
      <c r="O101" s="61">
        <f t="shared" si="29"/>
        <v>60831137.740000002</v>
      </c>
      <c r="P101" s="62">
        <f t="shared" si="21"/>
        <v>1</v>
      </c>
    </row>
    <row r="102" spans="1:16" ht="48.9" customHeight="1" x14ac:dyDescent="0.25">
      <c r="A102" s="37" t="s">
        <v>37</v>
      </c>
      <c r="B102" s="32" t="s">
        <v>136</v>
      </c>
      <c r="C102" s="32" t="s">
        <v>30</v>
      </c>
      <c r="D102" s="32" t="s">
        <v>61</v>
      </c>
      <c r="E102" s="32" t="s">
        <v>32</v>
      </c>
      <c r="F102" s="32" t="s">
        <v>139</v>
      </c>
      <c r="G102" s="32" t="s">
        <v>28</v>
      </c>
      <c r="H102" s="32" t="s">
        <v>38</v>
      </c>
      <c r="I102" s="38" t="s">
        <v>0</v>
      </c>
      <c r="J102" s="38" t="s">
        <v>0</v>
      </c>
      <c r="K102" s="38" t="s">
        <v>0</v>
      </c>
      <c r="L102" s="38" t="s">
        <v>0</v>
      </c>
      <c r="M102" s="61">
        <f>M103</f>
        <v>60831137.740000002</v>
      </c>
      <c r="N102" s="61">
        <f t="shared" si="29"/>
        <v>60823795.619999997</v>
      </c>
      <c r="O102" s="61">
        <f t="shared" si="29"/>
        <v>60831137.740000002</v>
      </c>
      <c r="P102" s="62">
        <f t="shared" si="21"/>
        <v>1</v>
      </c>
    </row>
    <row r="103" spans="1:16" ht="64.5" customHeight="1" x14ac:dyDescent="0.25">
      <c r="A103" s="37" t="s">
        <v>39</v>
      </c>
      <c r="B103" s="32" t="s">
        <v>136</v>
      </c>
      <c r="C103" s="32" t="s">
        <v>30</v>
      </c>
      <c r="D103" s="32" t="s">
        <v>61</v>
      </c>
      <c r="E103" s="32" t="s">
        <v>32</v>
      </c>
      <c r="F103" s="32" t="s">
        <v>139</v>
      </c>
      <c r="G103" s="32" t="s">
        <v>28</v>
      </c>
      <c r="H103" s="32" t="s">
        <v>38</v>
      </c>
      <c r="I103" s="32" t="s">
        <v>40</v>
      </c>
      <c r="J103" s="32" t="s">
        <v>0</v>
      </c>
      <c r="K103" s="32" t="s">
        <v>0</v>
      </c>
      <c r="L103" s="32" t="s">
        <v>0</v>
      </c>
      <c r="M103" s="61">
        <f>M104</f>
        <v>60831137.740000002</v>
      </c>
      <c r="N103" s="61">
        <f t="shared" si="29"/>
        <v>60823795.619999997</v>
      </c>
      <c r="O103" s="61">
        <f t="shared" si="29"/>
        <v>60831137.740000002</v>
      </c>
      <c r="P103" s="62">
        <f t="shared" si="21"/>
        <v>1</v>
      </c>
    </row>
    <row r="104" spans="1:16" ht="72" customHeight="1" x14ac:dyDescent="0.25">
      <c r="A104" s="4" t="s">
        <v>144</v>
      </c>
      <c r="B104" s="5" t="s">
        <v>136</v>
      </c>
      <c r="C104" s="5" t="s">
        <v>30</v>
      </c>
      <c r="D104" s="5" t="s">
        <v>61</v>
      </c>
      <c r="E104" s="5" t="s">
        <v>32</v>
      </c>
      <c r="F104" s="5" t="s">
        <v>139</v>
      </c>
      <c r="G104" s="5" t="s">
        <v>28</v>
      </c>
      <c r="H104" s="5" t="s">
        <v>38</v>
      </c>
      <c r="I104" s="5" t="s">
        <v>40</v>
      </c>
      <c r="J104" s="6" t="s">
        <v>73</v>
      </c>
      <c r="K104" s="6" t="s">
        <v>145</v>
      </c>
      <c r="L104" s="6" t="s">
        <v>75</v>
      </c>
      <c r="M104" s="63">
        <v>60831137.740000002</v>
      </c>
      <c r="N104" s="63">
        <v>60823795.619999997</v>
      </c>
      <c r="O104" s="63">
        <v>60831137.740000002</v>
      </c>
      <c r="P104" s="64">
        <f t="shared" si="21"/>
        <v>1</v>
      </c>
    </row>
    <row r="105" spans="1:16" ht="15" customHeight="1" x14ac:dyDescent="0.25">
      <c r="A105" s="36" t="s">
        <v>140</v>
      </c>
      <c r="B105" s="32" t="s">
        <v>136</v>
      </c>
      <c r="C105" s="32" t="s">
        <v>30</v>
      </c>
      <c r="D105" s="32" t="s">
        <v>61</v>
      </c>
      <c r="E105" s="32" t="s">
        <v>32</v>
      </c>
      <c r="F105" s="32" t="s">
        <v>139</v>
      </c>
      <c r="G105" s="32" t="s">
        <v>35</v>
      </c>
      <c r="H105" s="32" t="s">
        <v>0</v>
      </c>
      <c r="I105" s="32" t="s">
        <v>0</v>
      </c>
      <c r="J105" s="32" t="s">
        <v>0</v>
      </c>
      <c r="K105" s="32" t="s">
        <v>0</v>
      </c>
      <c r="L105" s="32" t="s">
        <v>0</v>
      </c>
      <c r="M105" s="61">
        <f>M106</f>
        <v>50000000</v>
      </c>
      <c r="N105" s="61">
        <f t="shared" ref="N105:O107" si="30">N106</f>
        <v>15805268.619999999</v>
      </c>
      <c r="O105" s="61">
        <f t="shared" si="30"/>
        <v>16458245.140000001</v>
      </c>
      <c r="P105" s="62">
        <f t="shared" si="21"/>
        <v>0.32916490279999999</v>
      </c>
    </row>
    <row r="106" spans="1:16" ht="48.9" customHeight="1" x14ac:dyDescent="0.25">
      <c r="A106" s="37" t="s">
        <v>37</v>
      </c>
      <c r="B106" s="32" t="s">
        <v>136</v>
      </c>
      <c r="C106" s="32" t="s">
        <v>30</v>
      </c>
      <c r="D106" s="32" t="s">
        <v>61</v>
      </c>
      <c r="E106" s="32" t="s">
        <v>32</v>
      </c>
      <c r="F106" s="32" t="s">
        <v>139</v>
      </c>
      <c r="G106" s="32" t="s">
        <v>35</v>
      </c>
      <c r="H106" s="32" t="s">
        <v>38</v>
      </c>
      <c r="I106" s="38" t="s">
        <v>0</v>
      </c>
      <c r="J106" s="38" t="s">
        <v>0</v>
      </c>
      <c r="K106" s="38" t="s">
        <v>0</v>
      </c>
      <c r="L106" s="38" t="s">
        <v>0</v>
      </c>
      <c r="M106" s="61">
        <f>M107</f>
        <v>50000000</v>
      </c>
      <c r="N106" s="61">
        <f t="shared" si="30"/>
        <v>15805268.619999999</v>
      </c>
      <c r="O106" s="61">
        <f t="shared" si="30"/>
        <v>16458245.140000001</v>
      </c>
      <c r="P106" s="62">
        <f t="shared" si="21"/>
        <v>0.32916490279999999</v>
      </c>
    </row>
    <row r="107" spans="1:16" ht="64.5" customHeight="1" x14ac:dyDescent="0.25">
      <c r="A107" s="37" t="s">
        <v>39</v>
      </c>
      <c r="B107" s="32" t="s">
        <v>136</v>
      </c>
      <c r="C107" s="32" t="s">
        <v>30</v>
      </c>
      <c r="D107" s="32" t="s">
        <v>61</v>
      </c>
      <c r="E107" s="32" t="s">
        <v>32</v>
      </c>
      <c r="F107" s="32" t="s">
        <v>139</v>
      </c>
      <c r="G107" s="32" t="s">
        <v>35</v>
      </c>
      <c r="H107" s="32" t="s">
        <v>38</v>
      </c>
      <c r="I107" s="32" t="s">
        <v>40</v>
      </c>
      <c r="J107" s="32" t="s">
        <v>0</v>
      </c>
      <c r="K107" s="32" t="s">
        <v>0</v>
      </c>
      <c r="L107" s="32" t="s">
        <v>0</v>
      </c>
      <c r="M107" s="61">
        <f>M108</f>
        <v>50000000</v>
      </c>
      <c r="N107" s="61">
        <f t="shared" si="30"/>
        <v>15805268.619999999</v>
      </c>
      <c r="O107" s="61">
        <f t="shared" si="30"/>
        <v>16458245.140000001</v>
      </c>
      <c r="P107" s="62">
        <f t="shared" si="21"/>
        <v>0.32916490279999999</v>
      </c>
    </row>
    <row r="108" spans="1:16" ht="54.75" customHeight="1" x14ac:dyDescent="0.25">
      <c r="A108" s="4" t="s">
        <v>141</v>
      </c>
      <c r="B108" s="5" t="s">
        <v>136</v>
      </c>
      <c r="C108" s="5" t="s">
        <v>30</v>
      </c>
      <c r="D108" s="5" t="s">
        <v>61</v>
      </c>
      <c r="E108" s="5" t="s">
        <v>32</v>
      </c>
      <c r="F108" s="5" t="s">
        <v>139</v>
      </c>
      <c r="G108" s="5" t="s">
        <v>35</v>
      </c>
      <c r="H108" s="5" t="s">
        <v>38</v>
      </c>
      <c r="I108" s="5" t="s">
        <v>40</v>
      </c>
      <c r="J108" s="6" t="s">
        <v>73</v>
      </c>
      <c r="K108" s="6" t="s">
        <v>142</v>
      </c>
      <c r="L108" s="6" t="s">
        <v>41</v>
      </c>
      <c r="M108" s="63">
        <v>50000000</v>
      </c>
      <c r="N108" s="63">
        <v>15805268.619999999</v>
      </c>
      <c r="O108" s="63">
        <v>16458245.140000001</v>
      </c>
      <c r="P108" s="64">
        <f t="shared" si="21"/>
        <v>0.32916490279999999</v>
      </c>
    </row>
    <row r="109" spans="1:16" ht="32.25" customHeight="1" x14ac:dyDescent="0.25">
      <c r="A109" s="36" t="s">
        <v>146</v>
      </c>
      <c r="B109" s="32" t="s">
        <v>136</v>
      </c>
      <c r="C109" s="32" t="s">
        <v>30</v>
      </c>
      <c r="D109" s="32" t="s">
        <v>61</v>
      </c>
      <c r="E109" s="32" t="s">
        <v>32</v>
      </c>
      <c r="F109" s="32" t="s">
        <v>139</v>
      </c>
      <c r="G109" s="32" t="s">
        <v>106</v>
      </c>
      <c r="H109" s="32" t="s">
        <v>0</v>
      </c>
      <c r="I109" s="32" t="s">
        <v>0</v>
      </c>
      <c r="J109" s="32" t="s">
        <v>0</v>
      </c>
      <c r="K109" s="32" t="s">
        <v>0</v>
      </c>
      <c r="L109" s="32" t="s">
        <v>0</v>
      </c>
      <c r="M109" s="61">
        <f>M110</f>
        <v>5919620.4100000001</v>
      </c>
      <c r="N109" s="61">
        <f t="shared" ref="N109:O111" si="31">N110</f>
        <v>5849620.4100000001</v>
      </c>
      <c r="O109" s="61">
        <f t="shared" si="31"/>
        <v>5849620.4100000001</v>
      </c>
      <c r="P109" s="62">
        <f t="shared" si="21"/>
        <v>0.98817491745218167</v>
      </c>
    </row>
    <row r="110" spans="1:16" ht="48.9" customHeight="1" x14ac:dyDescent="0.25">
      <c r="A110" s="37" t="s">
        <v>37</v>
      </c>
      <c r="B110" s="32" t="s">
        <v>136</v>
      </c>
      <c r="C110" s="32" t="s">
        <v>30</v>
      </c>
      <c r="D110" s="32" t="s">
        <v>61</v>
      </c>
      <c r="E110" s="32" t="s">
        <v>32</v>
      </c>
      <c r="F110" s="32" t="s">
        <v>139</v>
      </c>
      <c r="G110" s="32" t="s">
        <v>106</v>
      </c>
      <c r="H110" s="32" t="s">
        <v>38</v>
      </c>
      <c r="I110" s="38" t="s">
        <v>0</v>
      </c>
      <c r="J110" s="38" t="s">
        <v>0</v>
      </c>
      <c r="K110" s="38" t="s">
        <v>0</v>
      </c>
      <c r="L110" s="38" t="s">
        <v>0</v>
      </c>
      <c r="M110" s="61">
        <f>M111</f>
        <v>5919620.4100000001</v>
      </c>
      <c r="N110" s="61">
        <f t="shared" si="31"/>
        <v>5849620.4100000001</v>
      </c>
      <c r="O110" s="61">
        <f t="shared" si="31"/>
        <v>5849620.4100000001</v>
      </c>
      <c r="P110" s="62">
        <f t="shared" si="21"/>
        <v>0.98817491745218167</v>
      </c>
    </row>
    <row r="111" spans="1:16" ht="64.5" customHeight="1" x14ac:dyDescent="0.25">
      <c r="A111" s="37" t="s">
        <v>39</v>
      </c>
      <c r="B111" s="32" t="s">
        <v>136</v>
      </c>
      <c r="C111" s="32" t="s">
        <v>30</v>
      </c>
      <c r="D111" s="32" t="s">
        <v>61</v>
      </c>
      <c r="E111" s="32" t="s">
        <v>32</v>
      </c>
      <c r="F111" s="32" t="s">
        <v>139</v>
      </c>
      <c r="G111" s="32" t="s">
        <v>106</v>
      </c>
      <c r="H111" s="32" t="s">
        <v>38</v>
      </c>
      <c r="I111" s="32" t="s">
        <v>40</v>
      </c>
      <c r="J111" s="32" t="s">
        <v>0</v>
      </c>
      <c r="K111" s="32" t="s">
        <v>0</v>
      </c>
      <c r="L111" s="32" t="s">
        <v>0</v>
      </c>
      <c r="M111" s="61">
        <f>M112</f>
        <v>5919620.4100000001</v>
      </c>
      <c r="N111" s="61">
        <f t="shared" si="31"/>
        <v>5849620.4100000001</v>
      </c>
      <c r="O111" s="61">
        <f t="shared" si="31"/>
        <v>5849620.4100000001</v>
      </c>
      <c r="P111" s="62">
        <f t="shared" si="21"/>
        <v>0.98817491745218167</v>
      </c>
    </row>
    <row r="112" spans="1:16" ht="73.5" customHeight="1" x14ac:dyDescent="0.25">
      <c r="A112" s="4" t="s">
        <v>147</v>
      </c>
      <c r="B112" s="5" t="s">
        <v>136</v>
      </c>
      <c r="C112" s="5" t="s">
        <v>30</v>
      </c>
      <c r="D112" s="5" t="s">
        <v>61</v>
      </c>
      <c r="E112" s="5" t="s">
        <v>32</v>
      </c>
      <c r="F112" s="5" t="s">
        <v>139</v>
      </c>
      <c r="G112" s="5" t="s">
        <v>106</v>
      </c>
      <c r="H112" s="5" t="s">
        <v>38</v>
      </c>
      <c r="I112" s="5" t="s">
        <v>40</v>
      </c>
      <c r="J112" s="6" t="s">
        <v>148</v>
      </c>
      <c r="K112" s="6" t="s">
        <v>149</v>
      </c>
      <c r="L112" s="6">
        <v>2019</v>
      </c>
      <c r="M112" s="63">
        <v>5919620.4100000001</v>
      </c>
      <c r="N112" s="63">
        <v>5849620.4100000001</v>
      </c>
      <c r="O112" s="63">
        <v>5849620.4100000001</v>
      </c>
      <c r="P112" s="64">
        <f t="shared" si="21"/>
        <v>0.98817491745218167</v>
      </c>
    </row>
    <row r="113" spans="1:16" ht="80.099999999999994" customHeight="1" x14ac:dyDescent="0.25">
      <c r="A113" s="37" t="s">
        <v>150</v>
      </c>
      <c r="B113" s="32" t="s">
        <v>151</v>
      </c>
      <c r="C113" s="32" t="s">
        <v>0</v>
      </c>
      <c r="D113" s="32" t="s">
        <v>0</v>
      </c>
      <c r="E113" s="32" t="s">
        <v>0</v>
      </c>
      <c r="F113" s="32" t="s">
        <v>0</v>
      </c>
      <c r="G113" s="32" t="s">
        <v>0</v>
      </c>
      <c r="H113" s="38" t="s">
        <v>0</v>
      </c>
      <c r="I113" s="38" t="s">
        <v>0</v>
      </c>
      <c r="J113" s="38" t="s">
        <v>0</v>
      </c>
      <c r="K113" s="38" t="s">
        <v>0</v>
      </c>
      <c r="L113" s="38" t="s">
        <v>0</v>
      </c>
      <c r="M113" s="61">
        <f t="shared" ref="M113:O120" si="32">M114</f>
        <v>680794626.11000001</v>
      </c>
      <c r="N113" s="61">
        <f t="shared" si="32"/>
        <v>664639117.20000005</v>
      </c>
      <c r="O113" s="61">
        <f t="shared" si="32"/>
        <v>664639117.20000005</v>
      </c>
      <c r="P113" s="62">
        <f t="shared" si="21"/>
        <v>0.97626962920916238</v>
      </c>
    </row>
    <row r="114" spans="1:16" ht="48.9" customHeight="1" x14ac:dyDescent="0.25">
      <c r="A114" s="37" t="s">
        <v>152</v>
      </c>
      <c r="B114" s="32" t="s">
        <v>151</v>
      </c>
      <c r="C114" s="32" t="s">
        <v>14</v>
      </c>
      <c r="D114" s="32" t="s">
        <v>0</v>
      </c>
      <c r="E114" s="32" t="s">
        <v>0</v>
      </c>
      <c r="F114" s="32" t="s">
        <v>0</v>
      </c>
      <c r="G114" s="32" t="s">
        <v>0</v>
      </c>
      <c r="H114" s="38" t="s">
        <v>0</v>
      </c>
      <c r="I114" s="38" t="s">
        <v>0</v>
      </c>
      <c r="J114" s="38" t="s">
        <v>0</v>
      </c>
      <c r="K114" s="38" t="s">
        <v>0</v>
      </c>
      <c r="L114" s="38" t="s">
        <v>0</v>
      </c>
      <c r="M114" s="61">
        <f t="shared" si="32"/>
        <v>680794626.11000001</v>
      </c>
      <c r="N114" s="61">
        <f t="shared" si="32"/>
        <v>664639117.20000005</v>
      </c>
      <c r="O114" s="61">
        <f t="shared" si="32"/>
        <v>664639117.20000005</v>
      </c>
      <c r="P114" s="62">
        <f t="shared" si="21"/>
        <v>0.97626962920916238</v>
      </c>
    </row>
    <row r="115" spans="1:16" ht="48.9" customHeight="1" x14ac:dyDescent="0.25">
      <c r="A115" s="37" t="s">
        <v>153</v>
      </c>
      <c r="B115" s="32" t="s">
        <v>151</v>
      </c>
      <c r="C115" s="32" t="s">
        <v>14</v>
      </c>
      <c r="D115" s="32" t="s">
        <v>154</v>
      </c>
      <c r="E115" s="32" t="s">
        <v>0</v>
      </c>
      <c r="F115" s="32" t="s">
        <v>0</v>
      </c>
      <c r="G115" s="32" t="s">
        <v>0</v>
      </c>
      <c r="H115" s="38" t="s">
        <v>0</v>
      </c>
      <c r="I115" s="38" t="s">
        <v>0</v>
      </c>
      <c r="J115" s="38" t="s">
        <v>0</v>
      </c>
      <c r="K115" s="38" t="s">
        <v>0</v>
      </c>
      <c r="L115" s="38" t="s">
        <v>0</v>
      </c>
      <c r="M115" s="61">
        <f t="shared" si="32"/>
        <v>680794626.11000001</v>
      </c>
      <c r="N115" s="61">
        <f t="shared" si="32"/>
        <v>664639117.20000005</v>
      </c>
      <c r="O115" s="61">
        <f t="shared" si="32"/>
        <v>664639117.20000005</v>
      </c>
      <c r="P115" s="62">
        <f t="shared" si="21"/>
        <v>0.97626962920916238</v>
      </c>
    </row>
    <row r="116" spans="1:16" ht="32.25" customHeight="1" x14ac:dyDescent="0.25">
      <c r="A116" s="37" t="s">
        <v>31</v>
      </c>
      <c r="B116" s="32" t="s">
        <v>151</v>
      </c>
      <c r="C116" s="32" t="s">
        <v>14</v>
      </c>
      <c r="D116" s="32" t="s">
        <v>154</v>
      </c>
      <c r="E116" s="32" t="s">
        <v>32</v>
      </c>
      <c r="F116" s="32" t="s">
        <v>0</v>
      </c>
      <c r="G116" s="32" t="s">
        <v>0</v>
      </c>
      <c r="H116" s="38" t="s">
        <v>0</v>
      </c>
      <c r="I116" s="38" t="s">
        <v>0</v>
      </c>
      <c r="J116" s="38" t="s">
        <v>0</v>
      </c>
      <c r="K116" s="38" t="s">
        <v>0</v>
      </c>
      <c r="L116" s="38" t="s">
        <v>0</v>
      </c>
      <c r="M116" s="61">
        <f t="shared" si="32"/>
        <v>680794626.11000001</v>
      </c>
      <c r="N116" s="61">
        <f t="shared" si="32"/>
        <v>664639117.20000005</v>
      </c>
      <c r="O116" s="61">
        <f t="shared" si="32"/>
        <v>664639117.20000005</v>
      </c>
      <c r="P116" s="62">
        <f t="shared" si="21"/>
        <v>0.97626962920916238</v>
      </c>
    </row>
    <row r="117" spans="1:16" ht="64.5" customHeight="1" x14ac:dyDescent="0.25">
      <c r="A117" s="37" t="s">
        <v>155</v>
      </c>
      <c r="B117" s="32" t="s">
        <v>151</v>
      </c>
      <c r="C117" s="32" t="s">
        <v>14</v>
      </c>
      <c r="D117" s="32" t="s">
        <v>154</v>
      </c>
      <c r="E117" s="32" t="s">
        <v>32</v>
      </c>
      <c r="F117" s="32" t="s">
        <v>0</v>
      </c>
      <c r="G117" s="32" t="s">
        <v>0</v>
      </c>
      <c r="H117" s="38" t="s">
        <v>0</v>
      </c>
      <c r="I117" s="38" t="s">
        <v>0</v>
      </c>
      <c r="J117" s="38" t="s">
        <v>0</v>
      </c>
      <c r="K117" s="38" t="s">
        <v>0</v>
      </c>
      <c r="L117" s="38" t="s">
        <v>0</v>
      </c>
      <c r="M117" s="61">
        <f t="shared" si="32"/>
        <v>680794626.11000001</v>
      </c>
      <c r="N117" s="61">
        <f t="shared" si="32"/>
        <v>664639117.20000005</v>
      </c>
      <c r="O117" s="61">
        <f t="shared" si="32"/>
        <v>664639117.20000005</v>
      </c>
      <c r="P117" s="62">
        <f t="shared" si="21"/>
        <v>0.97626962920916238</v>
      </c>
    </row>
    <row r="118" spans="1:16" ht="15" customHeight="1" x14ac:dyDescent="0.25">
      <c r="A118" s="36" t="s">
        <v>156</v>
      </c>
      <c r="B118" s="32" t="s">
        <v>151</v>
      </c>
      <c r="C118" s="32" t="s">
        <v>14</v>
      </c>
      <c r="D118" s="32" t="s">
        <v>154</v>
      </c>
      <c r="E118" s="32" t="s">
        <v>32</v>
      </c>
      <c r="F118" s="32" t="s">
        <v>106</v>
      </c>
      <c r="G118" s="32" t="s">
        <v>0</v>
      </c>
      <c r="H118" s="32" t="s">
        <v>0</v>
      </c>
      <c r="I118" s="32" t="s">
        <v>0</v>
      </c>
      <c r="J118" s="32" t="s">
        <v>0</v>
      </c>
      <c r="K118" s="32" t="s">
        <v>0</v>
      </c>
      <c r="L118" s="32" t="s">
        <v>0</v>
      </c>
      <c r="M118" s="61">
        <f t="shared" si="32"/>
        <v>680794626.11000001</v>
      </c>
      <c r="N118" s="61">
        <f t="shared" si="32"/>
        <v>664639117.20000005</v>
      </c>
      <c r="O118" s="61">
        <f t="shared" si="32"/>
        <v>664639117.20000005</v>
      </c>
      <c r="P118" s="62">
        <f t="shared" si="21"/>
        <v>0.97626962920916238</v>
      </c>
    </row>
    <row r="119" spans="1:16" ht="32.25" customHeight="1" x14ac:dyDescent="0.25">
      <c r="A119" s="36" t="s">
        <v>157</v>
      </c>
      <c r="B119" s="32" t="s">
        <v>151</v>
      </c>
      <c r="C119" s="32" t="s">
        <v>14</v>
      </c>
      <c r="D119" s="32" t="s">
        <v>154</v>
      </c>
      <c r="E119" s="32" t="s">
        <v>32</v>
      </c>
      <c r="F119" s="32" t="s">
        <v>106</v>
      </c>
      <c r="G119" s="32" t="s">
        <v>65</v>
      </c>
      <c r="H119" s="32" t="s">
        <v>0</v>
      </c>
      <c r="I119" s="32" t="s">
        <v>0</v>
      </c>
      <c r="J119" s="32" t="s">
        <v>0</v>
      </c>
      <c r="K119" s="32" t="s">
        <v>0</v>
      </c>
      <c r="L119" s="32" t="s">
        <v>0</v>
      </c>
      <c r="M119" s="61">
        <f t="shared" si="32"/>
        <v>680794626.11000001</v>
      </c>
      <c r="N119" s="61">
        <f t="shared" si="32"/>
        <v>664639117.20000005</v>
      </c>
      <c r="O119" s="61">
        <f t="shared" si="32"/>
        <v>664639117.20000005</v>
      </c>
      <c r="P119" s="62">
        <f t="shared" si="21"/>
        <v>0.97626962920916238</v>
      </c>
    </row>
    <row r="120" spans="1:16" ht="32.25" customHeight="1" x14ac:dyDescent="0.25">
      <c r="A120" s="37" t="s">
        <v>158</v>
      </c>
      <c r="B120" s="32" t="s">
        <v>151</v>
      </c>
      <c r="C120" s="32" t="s">
        <v>14</v>
      </c>
      <c r="D120" s="32" t="s">
        <v>154</v>
      </c>
      <c r="E120" s="32" t="s">
        <v>32</v>
      </c>
      <c r="F120" s="32" t="s">
        <v>106</v>
      </c>
      <c r="G120" s="32" t="s">
        <v>65</v>
      </c>
      <c r="H120" s="32" t="s">
        <v>159</v>
      </c>
      <c r="I120" s="38" t="s">
        <v>0</v>
      </c>
      <c r="J120" s="38" t="s">
        <v>0</v>
      </c>
      <c r="K120" s="38" t="s">
        <v>0</v>
      </c>
      <c r="L120" s="38" t="s">
        <v>0</v>
      </c>
      <c r="M120" s="61">
        <f t="shared" si="32"/>
        <v>680794626.11000001</v>
      </c>
      <c r="N120" s="61">
        <f t="shared" si="32"/>
        <v>664639117.20000005</v>
      </c>
      <c r="O120" s="61">
        <f t="shared" si="32"/>
        <v>664639117.20000005</v>
      </c>
      <c r="P120" s="62">
        <f t="shared" si="21"/>
        <v>0.97626962920916238</v>
      </c>
    </row>
    <row r="121" spans="1:16" ht="64.5" customHeight="1" x14ac:dyDescent="0.25">
      <c r="A121" s="37" t="s">
        <v>39</v>
      </c>
      <c r="B121" s="32" t="s">
        <v>151</v>
      </c>
      <c r="C121" s="32" t="s">
        <v>14</v>
      </c>
      <c r="D121" s="32" t="s">
        <v>154</v>
      </c>
      <c r="E121" s="32" t="s">
        <v>32</v>
      </c>
      <c r="F121" s="32" t="s">
        <v>106</v>
      </c>
      <c r="G121" s="32" t="s">
        <v>65</v>
      </c>
      <c r="H121" s="32" t="s">
        <v>159</v>
      </c>
      <c r="I121" s="32" t="s">
        <v>40</v>
      </c>
      <c r="J121" s="32" t="s">
        <v>0</v>
      </c>
      <c r="K121" s="32" t="s">
        <v>0</v>
      </c>
      <c r="L121" s="32" t="s">
        <v>0</v>
      </c>
      <c r="M121" s="61">
        <f>M122+M123+M124+M125+M126+M127+M128+M129</f>
        <v>680794626.11000001</v>
      </c>
      <c r="N121" s="61">
        <f t="shared" ref="N121:O121" si="33">N122+N123+N124+N125+N126+N127+N128+N129</f>
        <v>664639117.20000005</v>
      </c>
      <c r="O121" s="61">
        <f t="shared" si="33"/>
        <v>664639117.20000005</v>
      </c>
      <c r="P121" s="62">
        <f t="shared" si="21"/>
        <v>0.97626962920916238</v>
      </c>
    </row>
    <row r="122" spans="1:16" ht="70.5" customHeight="1" x14ac:dyDescent="0.25">
      <c r="A122" s="70" t="s">
        <v>160</v>
      </c>
      <c r="B122" s="71" t="s">
        <v>151</v>
      </c>
      <c r="C122" s="71" t="s">
        <v>14</v>
      </c>
      <c r="D122" s="71" t="s">
        <v>154</v>
      </c>
      <c r="E122" s="71" t="s">
        <v>32</v>
      </c>
      <c r="F122" s="71" t="s">
        <v>106</v>
      </c>
      <c r="G122" s="71" t="s">
        <v>65</v>
      </c>
      <c r="H122" s="71" t="s">
        <v>159</v>
      </c>
      <c r="I122" s="71" t="s">
        <v>40</v>
      </c>
      <c r="J122" s="72" t="s">
        <v>161</v>
      </c>
      <c r="K122" s="72" t="s">
        <v>162</v>
      </c>
      <c r="L122" s="72" t="s">
        <v>53</v>
      </c>
      <c r="M122" s="73">
        <f>73672624-207558</f>
        <v>73465066</v>
      </c>
      <c r="N122" s="73">
        <v>73439593.230000004</v>
      </c>
      <c r="O122" s="73">
        <v>73439593.230000004</v>
      </c>
      <c r="P122" s="74">
        <f t="shared" si="21"/>
        <v>0.99965326690103296</v>
      </c>
    </row>
    <row r="123" spans="1:16" ht="102.75" customHeight="1" x14ac:dyDescent="0.25">
      <c r="A123" s="70" t="s">
        <v>163</v>
      </c>
      <c r="B123" s="71" t="s">
        <v>151</v>
      </c>
      <c r="C123" s="71" t="s">
        <v>14</v>
      </c>
      <c r="D123" s="71" t="s">
        <v>154</v>
      </c>
      <c r="E123" s="71" t="s">
        <v>32</v>
      </c>
      <c r="F123" s="71" t="s">
        <v>106</v>
      </c>
      <c r="G123" s="71" t="s">
        <v>65</v>
      </c>
      <c r="H123" s="71" t="s">
        <v>159</v>
      </c>
      <c r="I123" s="71" t="s">
        <v>40</v>
      </c>
      <c r="J123" s="72" t="s">
        <v>161</v>
      </c>
      <c r="K123" s="72" t="s">
        <v>164</v>
      </c>
      <c r="L123" s="72" t="s">
        <v>53</v>
      </c>
      <c r="M123" s="73">
        <f>169110366-399700+24660</f>
        <v>168735326</v>
      </c>
      <c r="N123" s="73">
        <v>168716402.46000001</v>
      </c>
      <c r="O123" s="73">
        <v>168716402.46000001</v>
      </c>
      <c r="P123" s="74">
        <f t="shared" si="21"/>
        <v>0.99988785075153741</v>
      </c>
    </row>
    <row r="124" spans="1:16" ht="73.5" customHeight="1" x14ac:dyDescent="0.25">
      <c r="A124" s="70" t="s">
        <v>165</v>
      </c>
      <c r="B124" s="71" t="s">
        <v>151</v>
      </c>
      <c r="C124" s="71" t="s">
        <v>14</v>
      </c>
      <c r="D124" s="71" t="s">
        <v>154</v>
      </c>
      <c r="E124" s="71" t="s">
        <v>32</v>
      </c>
      <c r="F124" s="71" t="s">
        <v>106</v>
      </c>
      <c r="G124" s="71" t="s">
        <v>65</v>
      </c>
      <c r="H124" s="71" t="s">
        <v>159</v>
      </c>
      <c r="I124" s="71" t="s">
        <v>40</v>
      </c>
      <c r="J124" s="72" t="s">
        <v>161</v>
      </c>
      <c r="K124" s="72" t="s">
        <v>166</v>
      </c>
      <c r="L124" s="72" t="s">
        <v>53</v>
      </c>
      <c r="M124" s="73">
        <f>148487759-136173</f>
        <v>148351586</v>
      </c>
      <c r="N124" s="73">
        <v>146244499.19</v>
      </c>
      <c r="O124" s="73">
        <v>146244499.19</v>
      </c>
      <c r="P124" s="74">
        <f t="shared" si="21"/>
        <v>0.98579666812594779</v>
      </c>
    </row>
    <row r="125" spans="1:16" ht="70.5" customHeight="1" x14ac:dyDescent="0.25">
      <c r="A125" s="70" t="s">
        <v>167</v>
      </c>
      <c r="B125" s="71" t="s">
        <v>151</v>
      </c>
      <c r="C125" s="71" t="s">
        <v>14</v>
      </c>
      <c r="D125" s="71" t="s">
        <v>154</v>
      </c>
      <c r="E125" s="71" t="s">
        <v>32</v>
      </c>
      <c r="F125" s="71" t="s">
        <v>106</v>
      </c>
      <c r="G125" s="71" t="s">
        <v>65</v>
      </c>
      <c r="H125" s="71" t="s">
        <v>159</v>
      </c>
      <c r="I125" s="71" t="s">
        <v>40</v>
      </c>
      <c r="J125" s="72" t="s">
        <v>161</v>
      </c>
      <c r="K125" s="72" t="s">
        <v>168</v>
      </c>
      <c r="L125" s="72" t="s">
        <v>53</v>
      </c>
      <c r="M125" s="73">
        <f>67004846-90822-16253</f>
        <v>66897771</v>
      </c>
      <c r="N125" s="73">
        <v>61194132.939999998</v>
      </c>
      <c r="O125" s="73">
        <v>61194132.939999998</v>
      </c>
      <c r="P125" s="74">
        <f t="shared" si="21"/>
        <v>0.91474098501727352</v>
      </c>
    </row>
    <row r="126" spans="1:16" ht="87" customHeight="1" x14ac:dyDescent="0.25">
      <c r="A126" s="70" t="s">
        <v>169</v>
      </c>
      <c r="B126" s="71" t="s">
        <v>151</v>
      </c>
      <c r="C126" s="71" t="s">
        <v>14</v>
      </c>
      <c r="D126" s="71" t="s">
        <v>154</v>
      </c>
      <c r="E126" s="71" t="s">
        <v>32</v>
      </c>
      <c r="F126" s="71" t="s">
        <v>106</v>
      </c>
      <c r="G126" s="71" t="s">
        <v>65</v>
      </c>
      <c r="H126" s="71" t="s">
        <v>159</v>
      </c>
      <c r="I126" s="71" t="s">
        <v>40</v>
      </c>
      <c r="J126" s="72" t="s">
        <v>161</v>
      </c>
      <c r="K126" s="72" t="s">
        <v>170</v>
      </c>
      <c r="L126" s="72" t="s">
        <v>53</v>
      </c>
      <c r="M126" s="73">
        <f>40625002-482361</f>
        <v>40142641</v>
      </c>
      <c r="N126" s="73">
        <v>39761298.329999998</v>
      </c>
      <c r="O126" s="73">
        <v>39761298.329999998</v>
      </c>
      <c r="P126" s="74">
        <f t="shared" si="21"/>
        <v>0.99050030938422806</v>
      </c>
    </row>
    <row r="127" spans="1:16" ht="64.5" customHeight="1" x14ac:dyDescent="0.25">
      <c r="A127" s="70" t="s">
        <v>171</v>
      </c>
      <c r="B127" s="71" t="s">
        <v>151</v>
      </c>
      <c r="C127" s="71" t="s">
        <v>14</v>
      </c>
      <c r="D127" s="71" t="s">
        <v>154</v>
      </c>
      <c r="E127" s="71" t="s">
        <v>32</v>
      </c>
      <c r="F127" s="71" t="s">
        <v>106</v>
      </c>
      <c r="G127" s="71" t="s">
        <v>65</v>
      </c>
      <c r="H127" s="71" t="s">
        <v>159</v>
      </c>
      <c r="I127" s="71" t="s">
        <v>40</v>
      </c>
      <c r="J127" s="72" t="s">
        <v>161</v>
      </c>
      <c r="K127" s="72" t="s">
        <v>172</v>
      </c>
      <c r="L127" s="72" t="s">
        <v>53</v>
      </c>
      <c r="M127" s="73">
        <f>37606994-457885.89</f>
        <v>37149108.109999999</v>
      </c>
      <c r="N127" s="73">
        <v>36589756.32</v>
      </c>
      <c r="O127" s="73">
        <v>36589756.32</v>
      </c>
      <c r="P127" s="74">
        <f t="shared" si="21"/>
        <v>0.98494306274207888</v>
      </c>
    </row>
    <row r="128" spans="1:16" ht="64.5" customHeight="1" x14ac:dyDescent="0.25">
      <c r="A128" s="70" t="s">
        <v>173</v>
      </c>
      <c r="B128" s="71" t="s">
        <v>151</v>
      </c>
      <c r="C128" s="71" t="s">
        <v>14</v>
      </c>
      <c r="D128" s="71" t="s">
        <v>154</v>
      </c>
      <c r="E128" s="71" t="s">
        <v>32</v>
      </c>
      <c r="F128" s="71" t="s">
        <v>106</v>
      </c>
      <c r="G128" s="71" t="s">
        <v>65</v>
      </c>
      <c r="H128" s="71" t="s">
        <v>159</v>
      </c>
      <c r="I128" s="71" t="s">
        <v>40</v>
      </c>
      <c r="J128" s="72" t="s">
        <v>161</v>
      </c>
      <c r="K128" s="72" t="s">
        <v>174</v>
      </c>
      <c r="L128" s="72" t="s">
        <v>53</v>
      </c>
      <c r="M128" s="73">
        <f>107781099-230195</f>
        <v>107550904</v>
      </c>
      <c r="N128" s="73">
        <v>101568178.65000001</v>
      </c>
      <c r="O128" s="73">
        <v>101568178.65000001</v>
      </c>
      <c r="P128" s="74">
        <f t="shared" si="21"/>
        <v>0.94437308169906231</v>
      </c>
    </row>
    <row r="129" spans="1:16" ht="80.099999999999994" customHeight="1" x14ac:dyDescent="0.25">
      <c r="A129" s="70" t="s">
        <v>175</v>
      </c>
      <c r="B129" s="71" t="s">
        <v>151</v>
      </c>
      <c r="C129" s="71" t="s">
        <v>14</v>
      </c>
      <c r="D129" s="71" t="s">
        <v>154</v>
      </c>
      <c r="E129" s="71" t="s">
        <v>32</v>
      </c>
      <c r="F129" s="71" t="s">
        <v>106</v>
      </c>
      <c r="G129" s="71" t="s">
        <v>65</v>
      </c>
      <c r="H129" s="71" t="s">
        <v>159</v>
      </c>
      <c r="I129" s="71" t="s">
        <v>40</v>
      </c>
      <c r="J129" s="72" t="s">
        <v>161</v>
      </c>
      <c r="K129" s="72" t="s">
        <v>176</v>
      </c>
      <c r="L129" s="72" t="s">
        <v>53</v>
      </c>
      <c r="M129" s="73">
        <f>38543138-40914</f>
        <v>38502224</v>
      </c>
      <c r="N129" s="73">
        <v>37125256.079999998</v>
      </c>
      <c r="O129" s="73">
        <v>37125256.079999998</v>
      </c>
      <c r="P129" s="74">
        <f t="shared" si="21"/>
        <v>0.96423666539366659</v>
      </c>
    </row>
    <row r="130" spans="1:16" ht="80.099999999999994" customHeight="1" x14ac:dyDescent="0.25">
      <c r="A130" s="37" t="s">
        <v>177</v>
      </c>
      <c r="B130" s="32" t="s">
        <v>178</v>
      </c>
      <c r="C130" s="32" t="s">
        <v>0</v>
      </c>
      <c r="D130" s="32" t="s">
        <v>0</v>
      </c>
      <c r="E130" s="32" t="s">
        <v>0</v>
      </c>
      <c r="F130" s="32" t="s">
        <v>0</v>
      </c>
      <c r="G130" s="32" t="s">
        <v>0</v>
      </c>
      <c r="H130" s="38" t="s">
        <v>0</v>
      </c>
      <c r="I130" s="38" t="s">
        <v>0</v>
      </c>
      <c r="J130" s="38" t="s">
        <v>0</v>
      </c>
      <c r="K130" s="38" t="s">
        <v>0</v>
      </c>
      <c r="L130" s="38" t="s">
        <v>0</v>
      </c>
      <c r="M130" s="61">
        <f>M131+M140+M153+M163</f>
        <v>169397259.22000003</v>
      </c>
      <c r="N130" s="61">
        <f t="shared" ref="N130:O130" si="34">N131+N140+N153+N163</f>
        <v>164092894.03</v>
      </c>
      <c r="O130" s="61">
        <f t="shared" si="34"/>
        <v>164099997.73000002</v>
      </c>
      <c r="P130" s="62">
        <f t="shared" si="21"/>
        <v>0.96872876506744221</v>
      </c>
    </row>
    <row r="131" spans="1:16" ht="96.6" customHeight="1" x14ac:dyDescent="0.25">
      <c r="A131" s="37" t="s">
        <v>369</v>
      </c>
      <c r="B131" s="32" t="s">
        <v>178</v>
      </c>
      <c r="C131" s="32" t="s">
        <v>13</v>
      </c>
      <c r="D131" s="32" t="s">
        <v>0</v>
      </c>
      <c r="E131" s="32" t="s">
        <v>0</v>
      </c>
      <c r="F131" s="32" t="s">
        <v>0</v>
      </c>
      <c r="G131" s="32" t="s">
        <v>0</v>
      </c>
      <c r="H131" s="38" t="s">
        <v>0</v>
      </c>
      <c r="I131" s="38" t="s">
        <v>0</v>
      </c>
      <c r="J131" s="38" t="s">
        <v>0</v>
      </c>
      <c r="K131" s="38" t="s">
        <v>0</v>
      </c>
      <c r="L131" s="38" t="s">
        <v>0</v>
      </c>
      <c r="M131" s="61">
        <f>M132</f>
        <v>503902.36</v>
      </c>
      <c r="N131" s="61">
        <f t="shared" ref="N131:O132" si="35">N132</f>
        <v>503902.36</v>
      </c>
      <c r="O131" s="61">
        <f t="shared" si="35"/>
        <v>503902.36</v>
      </c>
      <c r="P131" s="62">
        <f t="shared" si="21"/>
        <v>1</v>
      </c>
    </row>
    <row r="132" spans="1:16" ht="31.2" x14ac:dyDescent="0.25">
      <c r="A132" s="37" t="s">
        <v>408</v>
      </c>
      <c r="B132" s="32" t="s">
        <v>178</v>
      </c>
      <c r="C132" s="32" t="s">
        <v>13</v>
      </c>
      <c r="D132" s="32">
        <v>18</v>
      </c>
      <c r="E132" s="32" t="s">
        <v>0</v>
      </c>
      <c r="F132" s="32" t="s">
        <v>0</v>
      </c>
      <c r="G132" s="32" t="s">
        <v>0</v>
      </c>
      <c r="H132" s="38" t="s">
        <v>0</v>
      </c>
      <c r="I132" s="38" t="s">
        <v>0</v>
      </c>
      <c r="J132" s="38" t="s">
        <v>0</v>
      </c>
      <c r="K132" s="38" t="s">
        <v>0</v>
      </c>
      <c r="L132" s="38" t="s">
        <v>0</v>
      </c>
      <c r="M132" s="61">
        <f>M133</f>
        <v>503902.36</v>
      </c>
      <c r="N132" s="61">
        <f t="shared" si="35"/>
        <v>503902.36</v>
      </c>
      <c r="O132" s="61">
        <f t="shared" si="35"/>
        <v>503902.36</v>
      </c>
      <c r="P132" s="62">
        <f t="shared" si="21"/>
        <v>1</v>
      </c>
    </row>
    <row r="133" spans="1:16" ht="32.25" customHeight="1" x14ac:dyDescent="0.25">
      <c r="A133" s="37" t="s">
        <v>31</v>
      </c>
      <c r="B133" s="32" t="s">
        <v>178</v>
      </c>
      <c r="C133" s="32" t="s">
        <v>13</v>
      </c>
      <c r="D133" s="32">
        <v>18</v>
      </c>
      <c r="E133" s="32" t="s">
        <v>32</v>
      </c>
      <c r="F133" s="32" t="s">
        <v>0</v>
      </c>
      <c r="G133" s="32" t="s">
        <v>0</v>
      </c>
      <c r="H133" s="38" t="s">
        <v>0</v>
      </c>
      <c r="I133" s="38" t="s">
        <v>0</v>
      </c>
      <c r="J133" s="38" t="s">
        <v>0</v>
      </c>
      <c r="K133" s="38" t="s">
        <v>0</v>
      </c>
      <c r="L133" s="38" t="s">
        <v>0</v>
      </c>
      <c r="M133" s="61">
        <f>M135</f>
        <v>503902.36</v>
      </c>
      <c r="N133" s="61">
        <f t="shared" ref="N133:O133" si="36">N135</f>
        <v>503902.36</v>
      </c>
      <c r="O133" s="61">
        <f t="shared" si="36"/>
        <v>503902.36</v>
      </c>
      <c r="P133" s="62">
        <f t="shared" si="21"/>
        <v>1</v>
      </c>
    </row>
    <row r="134" spans="1:16" ht="64.5" customHeight="1" x14ac:dyDescent="0.25">
      <c r="A134" s="37" t="s">
        <v>155</v>
      </c>
      <c r="B134" s="32" t="s">
        <v>178</v>
      </c>
      <c r="C134" s="32" t="s">
        <v>13</v>
      </c>
      <c r="D134" s="32">
        <v>18</v>
      </c>
      <c r="E134" s="32" t="s">
        <v>32</v>
      </c>
      <c r="F134" s="32" t="s">
        <v>0</v>
      </c>
      <c r="G134" s="32" t="s">
        <v>0</v>
      </c>
      <c r="H134" s="38" t="s">
        <v>0</v>
      </c>
      <c r="I134" s="38" t="s">
        <v>0</v>
      </c>
      <c r="J134" s="38" t="s">
        <v>0</v>
      </c>
      <c r="K134" s="38" t="s">
        <v>0</v>
      </c>
      <c r="L134" s="38" t="s">
        <v>0</v>
      </c>
      <c r="M134" s="61">
        <f>M135</f>
        <v>503902.36</v>
      </c>
      <c r="N134" s="61">
        <f t="shared" ref="N134:O138" si="37">N135</f>
        <v>503902.36</v>
      </c>
      <c r="O134" s="61">
        <f t="shared" si="37"/>
        <v>503902.36</v>
      </c>
      <c r="P134" s="62">
        <f t="shared" si="21"/>
        <v>1</v>
      </c>
    </row>
    <row r="135" spans="1:16" ht="15" customHeight="1" x14ac:dyDescent="0.25">
      <c r="A135" s="36" t="s">
        <v>47</v>
      </c>
      <c r="B135" s="32" t="s">
        <v>178</v>
      </c>
      <c r="C135" s="32" t="s">
        <v>13</v>
      </c>
      <c r="D135" s="32">
        <v>18</v>
      </c>
      <c r="E135" s="32" t="s">
        <v>32</v>
      </c>
      <c r="F135" s="32" t="s">
        <v>48</v>
      </c>
      <c r="G135" s="32" t="s">
        <v>0</v>
      </c>
      <c r="H135" s="32" t="s">
        <v>0</v>
      </c>
      <c r="I135" s="32" t="s">
        <v>0</v>
      </c>
      <c r="J135" s="32" t="s">
        <v>0</v>
      </c>
      <c r="K135" s="32" t="s">
        <v>0</v>
      </c>
      <c r="L135" s="32" t="s">
        <v>0</v>
      </c>
      <c r="M135" s="61">
        <f>M136</f>
        <v>503902.36</v>
      </c>
      <c r="N135" s="61">
        <f t="shared" si="37"/>
        <v>503902.36</v>
      </c>
      <c r="O135" s="61">
        <f t="shared" si="37"/>
        <v>503902.36</v>
      </c>
      <c r="P135" s="62">
        <f t="shared" ref="P135:P198" si="38">O135/M135</f>
        <v>1</v>
      </c>
    </row>
    <row r="136" spans="1:16" ht="15" customHeight="1" x14ac:dyDescent="0.25">
      <c r="A136" s="36" t="s">
        <v>49</v>
      </c>
      <c r="B136" s="32" t="s">
        <v>178</v>
      </c>
      <c r="C136" s="32" t="s">
        <v>13</v>
      </c>
      <c r="D136" s="32">
        <v>18</v>
      </c>
      <c r="E136" s="32" t="s">
        <v>32</v>
      </c>
      <c r="F136" s="32" t="s">
        <v>48</v>
      </c>
      <c r="G136" s="32" t="s">
        <v>28</v>
      </c>
      <c r="H136" s="32" t="s">
        <v>0</v>
      </c>
      <c r="I136" s="32" t="s">
        <v>0</v>
      </c>
      <c r="J136" s="32" t="s">
        <v>0</v>
      </c>
      <c r="K136" s="32" t="s">
        <v>0</v>
      </c>
      <c r="L136" s="32" t="s">
        <v>0</v>
      </c>
      <c r="M136" s="61">
        <f>M137</f>
        <v>503902.36</v>
      </c>
      <c r="N136" s="61">
        <f t="shared" si="37"/>
        <v>503902.36</v>
      </c>
      <c r="O136" s="61">
        <f t="shared" si="37"/>
        <v>503902.36</v>
      </c>
      <c r="P136" s="62">
        <f t="shared" si="38"/>
        <v>1</v>
      </c>
    </row>
    <row r="137" spans="1:16" ht="48.9" customHeight="1" x14ac:dyDescent="0.25">
      <c r="A137" s="37" t="s">
        <v>37</v>
      </c>
      <c r="B137" s="32" t="s">
        <v>178</v>
      </c>
      <c r="C137" s="32" t="s">
        <v>13</v>
      </c>
      <c r="D137" s="32">
        <v>18</v>
      </c>
      <c r="E137" s="32" t="s">
        <v>32</v>
      </c>
      <c r="F137" s="32" t="s">
        <v>48</v>
      </c>
      <c r="G137" s="32" t="s">
        <v>28</v>
      </c>
      <c r="H137" s="32" t="s">
        <v>38</v>
      </c>
      <c r="I137" s="38" t="s">
        <v>0</v>
      </c>
      <c r="J137" s="38" t="s">
        <v>0</v>
      </c>
      <c r="K137" s="38" t="s">
        <v>0</v>
      </c>
      <c r="L137" s="38" t="s">
        <v>0</v>
      </c>
      <c r="M137" s="61">
        <f>M138</f>
        <v>503902.36</v>
      </c>
      <c r="N137" s="61">
        <f t="shared" si="37"/>
        <v>503902.36</v>
      </c>
      <c r="O137" s="61">
        <f t="shared" si="37"/>
        <v>503902.36</v>
      </c>
      <c r="P137" s="62">
        <f t="shared" si="38"/>
        <v>1</v>
      </c>
    </row>
    <row r="138" spans="1:16" ht="64.5" customHeight="1" x14ac:dyDescent="0.25">
      <c r="A138" s="37" t="s">
        <v>39</v>
      </c>
      <c r="B138" s="32" t="s">
        <v>178</v>
      </c>
      <c r="C138" s="32" t="s">
        <v>13</v>
      </c>
      <c r="D138" s="32">
        <v>18</v>
      </c>
      <c r="E138" s="32" t="s">
        <v>32</v>
      </c>
      <c r="F138" s="32" t="s">
        <v>48</v>
      </c>
      <c r="G138" s="32" t="s">
        <v>28</v>
      </c>
      <c r="H138" s="32" t="s">
        <v>38</v>
      </c>
      <c r="I138" s="32">
        <v>414</v>
      </c>
      <c r="J138" s="32" t="s">
        <v>0</v>
      </c>
      <c r="K138" s="32" t="s">
        <v>0</v>
      </c>
      <c r="L138" s="32" t="s">
        <v>0</v>
      </c>
      <c r="M138" s="61">
        <f>M139</f>
        <v>503902.36</v>
      </c>
      <c r="N138" s="61">
        <f t="shared" si="37"/>
        <v>503902.36</v>
      </c>
      <c r="O138" s="61">
        <f t="shared" si="37"/>
        <v>503902.36</v>
      </c>
      <c r="P138" s="62">
        <f t="shared" si="38"/>
        <v>1</v>
      </c>
    </row>
    <row r="139" spans="1:16" ht="32.25" customHeight="1" x14ac:dyDescent="0.25">
      <c r="A139" s="4" t="s">
        <v>513</v>
      </c>
      <c r="B139" s="5" t="s">
        <v>178</v>
      </c>
      <c r="C139" s="5" t="s">
        <v>13</v>
      </c>
      <c r="D139" s="5">
        <v>18</v>
      </c>
      <c r="E139" s="5" t="s">
        <v>32</v>
      </c>
      <c r="F139" s="5" t="s">
        <v>48</v>
      </c>
      <c r="G139" s="5" t="s">
        <v>28</v>
      </c>
      <c r="H139" s="5">
        <v>11260</v>
      </c>
      <c r="I139" s="5">
        <v>414</v>
      </c>
      <c r="J139" s="6"/>
      <c r="K139" s="6"/>
      <c r="L139" s="6"/>
      <c r="M139" s="63">
        <v>503902.36</v>
      </c>
      <c r="N139" s="63">
        <v>503902.36</v>
      </c>
      <c r="O139" s="63">
        <v>503902.36</v>
      </c>
      <c r="P139" s="64">
        <f t="shared" si="38"/>
        <v>1</v>
      </c>
    </row>
    <row r="140" spans="1:16" ht="64.5" customHeight="1" x14ac:dyDescent="0.25">
      <c r="A140" s="37" t="s">
        <v>179</v>
      </c>
      <c r="B140" s="32" t="s">
        <v>178</v>
      </c>
      <c r="C140" s="32" t="s">
        <v>14</v>
      </c>
      <c r="D140" s="32" t="s">
        <v>0</v>
      </c>
      <c r="E140" s="32" t="s">
        <v>0</v>
      </c>
      <c r="F140" s="32" t="s">
        <v>0</v>
      </c>
      <c r="G140" s="32" t="s">
        <v>0</v>
      </c>
      <c r="H140" s="38" t="s">
        <v>0</v>
      </c>
      <c r="I140" s="38" t="s">
        <v>0</v>
      </c>
      <c r="J140" s="38" t="s">
        <v>0</v>
      </c>
      <c r="K140" s="38" t="s">
        <v>0</v>
      </c>
      <c r="L140" s="38" t="s">
        <v>0</v>
      </c>
      <c r="M140" s="61">
        <f t="shared" ref="M140:O146" si="39">M141</f>
        <v>6846045.1100000013</v>
      </c>
      <c r="N140" s="61">
        <f t="shared" si="39"/>
        <v>6791764.2300000004</v>
      </c>
      <c r="O140" s="61">
        <f t="shared" si="39"/>
        <v>6791764.2300000004</v>
      </c>
      <c r="P140" s="62">
        <f t="shared" si="38"/>
        <v>0.9920712062033139</v>
      </c>
    </row>
    <row r="141" spans="1:16" ht="48.9" customHeight="1" x14ac:dyDescent="0.25">
      <c r="A141" s="37" t="s">
        <v>180</v>
      </c>
      <c r="B141" s="32" t="s">
        <v>178</v>
      </c>
      <c r="C141" s="32" t="s">
        <v>14</v>
      </c>
      <c r="D141" s="32" t="s">
        <v>178</v>
      </c>
      <c r="E141" s="32" t="s">
        <v>0</v>
      </c>
      <c r="F141" s="32" t="s">
        <v>0</v>
      </c>
      <c r="G141" s="32" t="s">
        <v>0</v>
      </c>
      <c r="H141" s="38" t="s">
        <v>0</v>
      </c>
      <c r="I141" s="38" t="s">
        <v>0</v>
      </c>
      <c r="J141" s="38" t="s">
        <v>0</v>
      </c>
      <c r="K141" s="38" t="s">
        <v>0</v>
      </c>
      <c r="L141" s="38" t="s">
        <v>0</v>
      </c>
      <c r="M141" s="61">
        <f t="shared" si="39"/>
        <v>6846045.1100000013</v>
      </c>
      <c r="N141" s="61">
        <f t="shared" si="39"/>
        <v>6791764.2300000004</v>
      </c>
      <c r="O141" s="61">
        <f t="shared" si="39"/>
        <v>6791764.2300000004</v>
      </c>
      <c r="P141" s="62">
        <f t="shared" si="38"/>
        <v>0.9920712062033139</v>
      </c>
    </row>
    <row r="142" spans="1:16" ht="32.25" customHeight="1" x14ac:dyDescent="0.25">
      <c r="A142" s="37" t="s">
        <v>31</v>
      </c>
      <c r="B142" s="32" t="s">
        <v>178</v>
      </c>
      <c r="C142" s="32" t="s">
        <v>14</v>
      </c>
      <c r="D142" s="32" t="s">
        <v>178</v>
      </c>
      <c r="E142" s="32" t="s">
        <v>32</v>
      </c>
      <c r="F142" s="32" t="s">
        <v>0</v>
      </c>
      <c r="G142" s="32" t="s">
        <v>0</v>
      </c>
      <c r="H142" s="38" t="s">
        <v>0</v>
      </c>
      <c r="I142" s="38" t="s">
        <v>0</v>
      </c>
      <c r="J142" s="38" t="s">
        <v>0</v>
      </c>
      <c r="K142" s="38" t="s">
        <v>0</v>
      </c>
      <c r="L142" s="38" t="s">
        <v>0</v>
      </c>
      <c r="M142" s="61">
        <f t="shared" si="39"/>
        <v>6846045.1100000013</v>
      </c>
      <c r="N142" s="61">
        <f t="shared" si="39"/>
        <v>6791764.2300000004</v>
      </c>
      <c r="O142" s="61">
        <f t="shared" si="39"/>
        <v>6791764.2300000004</v>
      </c>
      <c r="P142" s="62">
        <f t="shared" si="38"/>
        <v>0.9920712062033139</v>
      </c>
    </row>
    <row r="143" spans="1:16" ht="80.099999999999994" customHeight="1" x14ac:dyDescent="0.25">
      <c r="A143" s="37" t="s">
        <v>33</v>
      </c>
      <c r="B143" s="32" t="s">
        <v>178</v>
      </c>
      <c r="C143" s="32" t="s">
        <v>14</v>
      </c>
      <c r="D143" s="32" t="s">
        <v>178</v>
      </c>
      <c r="E143" s="32" t="s">
        <v>32</v>
      </c>
      <c r="F143" s="32" t="s">
        <v>0</v>
      </c>
      <c r="G143" s="32" t="s">
        <v>0</v>
      </c>
      <c r="H143" s="38" t="s">
        <v>0</v>
      </c>
      <c r="I143" s="38" t="s">
        <v>0</v>
      </c>
      <c r="J143" s="38" t="s">
        <v>0</v>
      </c>
      <c r="K143" s="38" t="s">
        <v>0</v>
      </c>
      <c r="L143" s="38" t="s">
        <v>0</v>
      </c>
      <c r="M143" s="61">
        <f t="shared" si="39"/>
        <v>6846045.1100000013</v>
      </c>
      <c r="N143" s="61">
        <f t="shared" si="39"/>
        <v>6791764.2300000004</v>
      </c>
      <c r="O143" s="61">
        <f t="shared" si="39"/>
        <v>6791764.2300000004</v>
      </c>
      <c r="P143" s="62">
        <f t="shared" si="38"/>
        <v>0.9920712062033139</v>
      </c>
    </row>
    <row r="144" spans="1:16" ht="15" customHeight="1" x14ac:dyDescent="0.25">
      <c r="A144" s="36" t="s">
        <v>47</v>
      </c>
      <c r="B144" s="32" t="s">
        <v>178</v>
      </c>
      <c r="C144" s="32" t="s">
        <v>14</v>
      </c>
      <c r="D144" s="32" t="s">
        <v>178</v>
      </c>
      <c r="E144" s="32" t="s">
        <v>32</v>
      </c>
      <c r="F144" s="32" t="s">
        <v>48</v>
      </c>
      <c r="G144" s="32" t="s">
        <v>0</v>
      </c>
      <c r="H144" s="32" t="s">
        <v>0</v>
      </c>
      <c r="I144" s="32" t="s">
        <v>0</v>
      </c>
      <c r="J144" s="32" t="s">
        <v>0</v>
      </c>
      <c r="K144" s="32" t="s">
        <v>0</v>
      </c>
      <c r="L144" s="32" t="s">
        <v>0</v>
      </c>
      <c r="M144" s="61">
        <f t="shared" si="39"/>
        <v>6846045.1100000013</v>
      </c>
      <c r="N144" s="61">
        <f t="shared" si="39"/>
        <v>6791764.2300000004</v>
      </c>
      <c r="O144" s="61">
        <f t="shared" si="39"/>
        <v>6791764.2300000004</v>
      </c>
      <c r="P144" s="62">
        <f t="shared" si="38"/>
        <v>0.9920712062033139</v>
      </c>
    </row>
    <row r="145" spans="1:16" ht="15" customHeight="1" x14ac:dyDescent="0.25">
      <c r="A145" s="36" t="s">
        <v>49</v>
      </c>
      <c r="B145" s="32" t="s">
        <v>178</v>
      </c>
      <c r="C145" s="32" t="s">
        <v>14</v>
      </c>
      <c r="D145" s="32" t="s">
        <v>178</v>
      </c>
      <c r="E145" s="32" t="s">
        <v>32</v>
      </c>
      <c r="F145" s="32" t="s">
        <v>48</v>
      </c>
      <c r="G145" s="32" t="s">
        <v>28</v>
      </c>
      <c r="H145" s="32" t="s">
        <v>0</v>
      </c>
      <c r="I145" s="32" t="s">
        <v>0</v>
      </c>
      <c r="J145" s="32" t="s">
        <v>0</v>
      </c>
      <c r="K145" s="32" t="s">
        <v>0</v>
      </c>
      <c r="L145" s="32" t="s">
        <v>0</v>
      </c>
      <c r="M145" s="61">
        <f t="shared" si="39"/>
        <v>6846045.1100000013</v>
      </c>
      <c r="N145" s="61">
        <f t="shared" si="39"/>
        <v>6791764.2300000004</v>
      </c>
      <c r="O145" s="61">
        <f t="shared" si="39"/>
        <v>6791764.2300000004</v>
      </c>
      <c r="P145" s="62">
        <f t="shared" si="38"/>
        <v>0.9920712062033139</v>
      </c>
    </row>
    <row r="146" spans="1:16" ht="48.9" customHeight="1" x14ac:dyDescent="0.25">
      <c r="A146" s="37" t="s">
        <v>37</v>
      </c>
      <c r="B146" s="32" t="s">
        <v>178</v>
      </c>
      <c r="C146" s="32" t="s">
        <v>14</v>
      </c>
      <c r="D146" s="32" t="s">
        <v>178</v>
      </c>
      <c r="E146" s="32" t="s">
        <v>32</v>
      </c>
      <c r="F146" s="32" t="s">
        <v>48</v>
      </c>
      <c r="G146" s="32" t="s">
        <v>28</v>
      </c>
      <c r="H146" s="32" t="s">
        <v>38</v>
      </c>
      <c r="I146" s="38" t="s">
        <v>0</v>
      </c>
      <c r="J146" s="38" t="s">
        <v>0</v>
      </c>
      <c r="K146" s="38" t="s">
        <v>0</v>
      </c>
      <c r="L146" s="38" t="s">
        <v>0</v>
      </c>
      <c r="M146" s="61">
        <f t="shared" si="39"/>
        <v>6846045.1100000013</v>
      </c>
      <c r="N146" s="61">
        <f t="shared" si="39"/>
        <v>6791764.2300000004</v>
      </c>
      <c r="O146" s="61">
        <f t="shared" si="39"/>
        <v>6791764.2300000004</v>
      </c>
      <c r="P146" s="62">
        <f t="shared" si="38"/>
        <v>0.9920712062033139</v>
      </c>
    </row>
    <row r="147" spans="1:16" ht="64.5" customHeight="1" x14ac:dyDescent="0.25">
      <c r="A147" s="37" t="s">
        <v>39</v>
      </c>
      <c r="B147" s="32" t="s">
        <v>178</v>
      </c>
      <c r="C147" s="32" t="s">
        <v>14</v>
      </c>
      <c r="D147" s="32" t="s">
        <v>178</v>
      </c>
      <c r="E147" s="32" t="s">
        <v>32</v>
      </c>
      <c r="F147" s="32" t="s">
        <v>48</v>
      </c>
      <c r="G147" s="32" t="s">
        <v>28</v>
      </c>
      <c r="H147" s="32" t="s">
        <v>38</v>
      </c>
      <c r="I147" s="32" t="s">
        <v>40</v>
      </c>
      <c r="J147" s="32" t="s">
        <v>0</v>
      </c>
      <c r="K147" s="32" t="s">
        <v>0</v>
      </c>
      <c r="L147" s="32" t="s">
        <v>0</v>
      </c>
      <c r="M147" s="61">
        <f>M148+M149+M150+M151+M152</f>
        <v>6846045.1100000013</v>
      </c>
      <c r="N147" s="61">
        <f t="shared" ref="N147:O147" si="40">N148+N149+N150+N151+N152</f>
        <v>6791764.2300000004</v>
      </c>
      <c r="O147" s="61">
        <f t="shared" si="40"/>
        <v>6791764.2300000004</v>
      </c>
      <c r="P147" s="62">
        <f t="shared" si="38"/>
        <v>0.9920712062033139</v>
      </c>
    </row>
    <row r="148" spans="1:16" s="9" customFormat="1" ht="32.25" customHeight="1" x14ac:dyDescent="0.25">
      <c r="A148" s="4" t="s">
        <v>182</v>
      </c>
      <c r="B148" s="5" t="s">
        <v>178</v>
      </c>
      <c r="C148" s="5" t="s">
        <v>14</v>
      </c>
      <c r="D148" s="5" t="s">
        <v>178</v>
      </c>
      <c r="E148" s="5" t="s">
        <v>32</v>
      </c>
      <c r="F148" s="5" t="s">
        <v>48</v>
      </c>
      <c r="G148" s="5" t="s">
        <v>28</v>
      </c>
      <c r="H148" s="5" t="s">
        <v>38</v>
      </c>
      <c r="I148" s="5" t="s">
        <v>40</v>
      </c>
      <c r="J148" s="6" t="s">
        <v>181</v>
      </c>
      <c r="K148" s="6" t="s">
        <v>183</v>
      </c>
      <c r="L148" s="6" t="s">
        <v>53</v>
      </c>
      <c r="M148" s="63">
        <v>1367111.9</v>
      </c>
      <c r="N148" s="63">
        <v>1363611.9</v>
      </c>
      <c r="O148" s="63">
        <v>1363611.9</v>
      </c>
      <c r="P148" s="64">
        <f t="shared" si="38"/>
        <v>0.99743985843441196</v>
      </c>
    </row>
    <row r="149" spans="1:16" s="9" customFormat="1" ht="31.2" x14ac:dyDescent="0.25">
      <c r="A149" s="4" t="s">
        <v>496</v>
      </c>
      <c r="B149" s="5" t="s">
        <v>178</v>
      </c>
      <c r="C149" s="5" t="s">
        <v>14</v>
      </c>
      <c r="D149" s="5" t="s">
        <v>178</v>
      </c>
      <c r="E149" s="5" t="s">
        <v>32</v>
      </c>
      <c r="F149" s="5" t="s">
        <v>48</v>
      </c>
      <c r="G149" s="5" t="s">
        <v>28</v>
      </c>
      <c r="H149" s="5" t="s">
        <v>38</v>
      </c>
      <c r="I149" s="5" t="s">
        <v>40</v>
      </c>
      <c r="J149" s="6" t="s">
        <v>181</v>
      </c>
      <c r="K149" s="6">
        <v>10</v>
      </c>
      <c r="L149" s="6">
        <v>2020</v>
      </c>
      <c r="M149" s="63">
        <v>1397446.06</v>
      </c>
      <c r="N149" s="63">
        <v>1397446.06</v>
      </c>
      <c r="O149" s="63">
        <v>1397446.06</v>
      </c>
      <c r="P149" s="64">
        <f t="shared" si="38"/>
        <v>1</v>
      </c>
    </row>
    <row r="150" spans="1:16" s="9" customFormat="1" ht="31.2" x14ac:dyDescent="0.25">
      <c r="A150" s="4" t="s">
        <v>497</v>
      </c>
      <c r="B150" s="5" t="s">
        <v>178</v>
      </c>
      <c r="C150" s="5" t="s">
        <v>14</v>
      </c>
      <c r="D150" s="5" t="s">
        <v>178</v>
      </c>
      <c r="E150" s="5" t="s">
        <v>32</v>
      </c>
      <c r="F150" s="5" t="s">
        <v>48</v>
      </c>
      <c r="G150" s="5" t="s">
        <v>28</v>
      </c>
      <c r="H150" s="5" t="s">
        <v>38</v>
      </c>
      <c r="I150" s="5" t="s">
        <v>40</v>
      </c>
      <c r="J150" s="6" t="s">
        <v>181</v>
      </c>
      <c r="K150" s="6">
        <v>18</v>
      </c>
      <c r="L150" s="6" t="s">
        <v>53</v>
      </c>
      <c r="M150" s="63">
        <v>1245695.6600000001</v>
      </c>
      <c r="N150" s="63">
        <v>1245695.6599999999</v>
      </c>
      <c r="O150" s="63">
        <v>1245695.6599999999</v>
      </c>
      <c r="P150" s="64">
        <f t="shared" si="38"/>
        <v>0.99999999999999978</v>
      </c>
    </row>
    <row r="151" spans="1:16" s="9" customFormat="1" ht="31.2" x14ac:dyDescent="0.25">
      <c r="A151" s="4" t="s">
        <v>498</v>
      </c>
      <c r="B151" s="5" t="s">
        <v>178</v>
      </c>
      <c r="C151" s="5" t="s">
        <v>14</v>
      </c>
      <c r="D151" s="5" t="s">
        <v>178</v>
      </c>
      <c r="E151" s="5" t="s">
        <v>32</v>
      </c>
      <c r="F151" s="5" t="s">
        <v>48</v>
      </c>
      <c r="G151" s="5" t="s">
        <v>28</v>
      </c>
      <c r="H151" s="5" t="s">
        <v>38</v>
      </c>
      <c r="I151" s="5" t="s">
        <v>40</v>
      </c>
      <c r="J151" s="6" t="s">
        <v>181</v>
      </c>
      <c r="K151" s="6">
        <v>18</v>
      </c>
      <c r="L151" s="6">
        <v>2020</v>
      </c>
      <c r="M151" s="63">
        <v>1314209.4300000002</v>
      </c>
      <c r="N151" s="63">
        <v>1299867.75</v>
      </c>
      <c r="O151" s="63">
        <v>1299867.75</v>
      </c>
      <c r="P151" s="64">
        <f t="shared" si="38"/>
        <v>0.9890872187699945</v>
      </c>
    </row>
    <row r="152" spans="1:16" s="9" customFormat="1" ht="31.2" x14ac:dyDescent="0.25">
      <c r="A152" s="4" t="s">
        <v>499</v>
      </c>
      <c r="B152" s="5" t="s">
        <v>178</v>
      </c>
      <c r="C152" s="5" t="s">
        <v>14</v>
      </c>
      <c r="D152" s="5" t="s">
        <v>178</v>
      </c>
      <c r="E152" s="5" t="s">
        <v>32</v>
      </c>
      <c r="F152" s="5" t="s">
        <v>48</v>
      </c>
      <c r="G152" s="5" t="s">
        <v>28</v>
      </c>
      <c r="H152" s="5" t="s">
        <v>38</v>
      </c>
      <c r="I152" s="5" t="s">
        <v>40</v>
      </c>
      <c r="J152" s="6" t="s">
        <v>181</v>
      </c>
      <c r="K152" s="6">
        <v>18</v>
      </c>
      <c r="L152" s="6" t="s">
        <v>53</v>
      </c>
      <c r="M152" s="63">
        <v>1521582.06</v>
      </c>
      <c r="N152" s="63">
        <v>1485142.86</v>
      </c>
      <c r="O152" s="63">
        <v>1485142.86</v>
      </c>
      <c r="P152" s="64">
        <f t="shared" si="38"/>
        <v>0.97605176811824401</v>
      </c>
    </row>
    <row r="153" spans="1:16" ht="32.25" customHeight="1" x14ac:dyDescent="0.25">
      <c r="A153" s="37" t="s">
        <v>184</v>
      </c>
      <c r="B153" s="32" t="s">
        <v>178</v>
      </c>
      <c r="C153" s="32" t="s">
        <v>15</v>
      </c>
      <c r="D153" s="32" t="s">
        <v>0</v>
      </c>
      <c r="E153" s="32" t="s">
        <v>0</v>
      </c>
      <c r="F153" s="32" t="s">
        <v>0</v>
      </c>
      <c r="G153" s="32" t="s">
        <v>0</v>
      </c>
      <c r="H153" s="38" t="s">
        <v>0</v>
      </c>
      <c r="I153" s="38" t="s">
        <v>0</v>
      </c>
      <c r="J153" s="38" t="s">
        <v>0</v>
      </c>
      <c r="K153" s="38" t="s">
        <v>0</v>
      </c>
      <c r="L153" s="38" t="s">
        <v>0</v>
      </c>
      <c r="M153" s="61">
        <f t="shared" ref="M153:O159" si="41">M154</f>
        <v>3743988.1</v>
      </c>
      <c r="N153" s="61">
        <f t="shared" si="41"/>
        <v>82527.399999999994</v>
      </c>
      <c r="O153" s="61">
        <f t="shared" si="41"/>
        <v>82527.399999999994</v>
      </c>
      <c r="P153" s="62">
        <f t="shared" si="38"/>
        <v>2.2042644847081645E-2</v>
      </c>
    </row>
    <row r="154" spans="1:16" ht="80.099999999999994" customHeight="1" x14ac:dyDescent="0.25">
      <c r="A154" s="37" t="s">
        <v>185</v>
      </c>
      <c r="B154" s="32" t="s">
        <v>178</v>
      </c>
      <c r="C154" s="32" t="s">
        <v>15</v>
      </c>
      <c r="D154" s="32" t="s">
        <v>186</v>
      </c>
      <c r="E154" s="32" t="s">
        <v>0</v>
      </c>
      <c r="F154" s="32" t="s">
        <v>0</v>
      </c>
      <c r="G154" s="32" t="s">
        <v>0</v>
      </c>
      <c r="H154" s="38" t="s">
        <v>0</v>
      </c>
      <c r="I154" s="38" t="s">
        <v>0</v>
      </c>
      <c r="J154" s="38" t="s">
        <v>0</v>
      </c>
      <c r="K154" s="38" t="s">
        <v>0</v>
      </c>
      <c r="L154" s="38" t="s">
        <v>0</v>
      </c>
      <c r="M154" s="61">
        <f t="shared" si="41"/>
        <v>3743988.1</v>
      </c>
      <c r="N154" s="61">
        <f t="shared" si="41"/>
        <v>82527.399999999994</v>
      </c>
      <c r="O154" s="61">
        <f t="shared" si="41"/>
        <v>82527.399999999994</v>
      </c>
      <c r="P154" s="62">
        <f t="shared" si="38"/>
        <v>2.2042644847081645E-2</v>
      </c>
    </row>
    <row r="155" spans="1:16" ht="32.25" customHeight="1" x14ac:dyDescent="0.25">
      <c r="A155" s="37" t="s">
        <v>31</v>
      </c>
      <c r="B155" s="32" t="s">
        <v>178</v>
      </c>
      <c r="C155" s="32" t="s">
        <v>15</v>
      </c>
      <c r="D155" s="32" t="s">
        <v>186</v>
      </c>
      <c r="E155" s="32" t="s">
        <v>32</v>
      </c>
      <c r="F155" s="32" t="s">
        <v>0</v>
      </c>
      <c r="G155" s="32" t="s">
        <v>0</v>
      </c>
      <c r="H155" s="38" t="s">
        <v>0</v>
      </c>
      <c r="I155" s="38" t="s">
        <v>0</v>
      </c>
      <c r="J155" s="38" t="s">
        <v>0</v>
      </c>
      <c r="K155" s="38" t="s">
        <v>0</v>
      </c>
      <c r="L155" s="38" t="s">
        <v>0</v>
      </c>
      <c r="M155" s="61">
        <f t="shared" si="41"/>
        <v>3743988.1</v>
      </c>
      <c r="N155" s="61">
        <f t="shared" si="41"/>
        <v>82527.399999999994</v>
      </c>
      <c r="O155" s="61">
        <f t="shared" si="41"/>
        <v>82527.399999999994</v>
      </c>
      <c r="P155" s="62">
        <f t="shared" si="38"/>
        <v>2.2042644847081645E-2</v>
      </c>
    </row>
    <row r="156" spans="1:16" ht="64.5" customHeight="1" x14ac:dyDescent="0.25">
      <c r="A156" s="37" t="s">
        <v>155</v>
      </c>
      <c r="B156" s="32" t="s">
        <v>178</v>
      </c>
      <c r="C156" s="32" t="s">
        <v>15</v>
      </c>
      <c r="D156" s="32" t="s">
        <v>186</v>
      </c>
      <c r="E156" s="32" t="s">
        <v>32</v>
      </c>
      <c r="F156" s="32" t="s">
        <v>0</v>
      </c>
      <c r="G156" s="32" t="s">
        <v>0</v>
      </c>
      <c r="H156" s="38" t="s">
        <v>0</v>
      </c>
      <c r="I156" s="38" t="s">
        <v>0</v>
      </c>
      <c r="J156" s="38" t="s">
        <v>0</v>
      </c>
      <c r="K156" s="38" t="s">
        <v>0</v>
      </c>
      <c r="L156" s="38" t="s">
        <v>0</v>
      </c>
      <c r="M156" s="61">
        <f t="shared" si="41"/>
        <v>3743988.1</v>
      </c>
      <c r="N156" s="61">
        <f t="shared" si="41"/>
        <v>82527.399999999994</v>
      </c>
      <c r="O156" s="61">
        <f t="shared" si="41"/>
        <v>82527.399999999994</v>
      </c>
      <c r="P156" s="62">
        <f t="shared" si="38"/>
        <v>2.2042644847081645E-2</v>
      </c>
    </row>
    <row r="157" spans="1:16" ht="15" customHeight="1" x14ac:dyDescent="0.25">
      <c r="A157" s="36" t="s">
        <v>156</v>
      </c>
      <c r="B157" s="32" t="s">
        <v>178</v>
      </c>
      <c r="C157" s="32" t="s">
        <v>15</v>
      </c>
      <c r="D157" s="32" t="s">
        <v>186</v>
      </c>
      <c r="E157" s="32" t="s">
        <v>32</v>
      </c>
      <c r="F157" s="32" t="s">
        <v>106</v>
      </c>
      <c r="G157" s="32" t="s">
        <v>0</v>
      </c>
      <c r="H157" s="32" t="s">
        <v>0</v>
      </c>
      <c r="I157" s="32" t="s">
        <v>0</v>
      </c>
      <c r="J157" s="32" t="s">
        <v>0</v>
      </c>
      <c r="K157" s="32" t="s">
        <v>0</v>
      </c>
      <c r="L157" s="32" t="s">
        <v>0</v>
      </c>
      <c r="M157" s="61">
        <f t="shared" si="41"/>
        <v>3743988.1</v>
      </c>
      <c r="N157" s="61">
        <f t="shared" si="41"/>
        <v>82527.399999999994</v>
      </c>
      <c r="O157" s="61">
        <f t="shared" si="41"/>
        <v>82527.399999999994</v>
      </c>
      <c r="P157" s="62">
        <f t="shared" si="38"/>
        <v>2.2042644847081645E-2</v>
      </c>
    </row>
    <row r="158" spans="1:16" ht="32.25" customHeight="1" x14ac:dyDescent="0.25">
      <c r="A158" s="36" t="s">
        <v>157</v>
      </c>
      <c r="B158" s="32" t="s">
        <v>178</v>
      </c>
      <c r="C158" s="32" t="s">
        <v>15</v>
      </c>
      <c r="D158" s="32" t="s">
        <v>186</v>
      </c>
      <c r="E158" s="32" t="s">
        <v>32</v>
      </c>
      <c r="F158" s="32" t="s">
        <v>106</v>
      </c>
      <c r="G158" s="32" t="s">
        <v>65</v>
      </c>
      <c r="H158" s="32" t="s">
        <v>0</v>
      </c>
      <c r="I158" s="32" t="s">
        <v>0</v>
      </c>
      <c r="J158" s="32" t="s">
        <v>0</v>
      </c>
      <c r="K158" s="32" t="s">
        <v>0</v>
      </c>
      <c r="L158" s="32" t="s">
        <v>0</v>
      </c>
      <c r="M158" s="61">
        <f t="shared" si="41"/>
        <v>3743988.1</v>
      </c>
      <c r="N158" s="61">
        <f t="shared" si="41"/>
        <v>82527.399999999994</v>
      </c>
      <c r="O158" s="61">
        <f t="shared" si="41"/>
        <v>82527.399999999994</v>
      </c>
      <c r="P158" s="62">
        <f t="shared" si="38"/>
        <v>2.2042644847081645E-2</v>
      </c>
    </row>
    <row r="159" spans="1:16" ht="64.5" customHeight="1" x14ac:dyDescent="0.25">
      <c r="A159" s="37" t="s">
        <v>187</v>
      </c>
      <c r="B159" s="32" t="s">
        <v>178</v>
      </c>
      <c r="C159" s="32" t="s">
        <v>15</v>
      </c>
      <c r="D159" s="32" t="s">
        <v>186</v>
      </c>
      <c r="E159" s="32" t="s">
        <v>32</v>
      </c>
      <c r="F159" s="32" t="s">
        <v>106</v>
      </c>
      <c r="G159" s="32" t="s">
        <v>65</v>
      </c>
      <c r="H159" s="32" t="s">
        <v>188</v>
      </c>
      <c r="I159" s="38" t="s">
        <v>0</v>
      </c>
      <c r="J159" s="38" t="s">
        <v>0</v>
      </c>
      <c r="K159" s="38" t="s">
        <v>0</v>
      </c>
      <c r="L159" s="38" t="s">
        <v>0</v>
      </c>
      <c r="M159" s="61">
        <f t="shared" si="41"/>
        <v>3743988.1</v>
      </c>
      <c r="N159" s="61">
        <f t="shared" si="41"/>
        <v>82527.399999999994</v>
      </c>
      <c r="O159" s="61">
        <f t="shared" si="41"/>
        <v>82527.399999999994</v>
      </c>
      <c r="P159" s="62">
        <f t="shared" si="38"/>
        <v>2.2042644847081645E-2</v>
      </c>
    </row>
    <row r="160" spans="1:16" ht="64.5" customHeight="1" x14ac:dyDescent="0.25">
      <c r="A160" s="37" t="s">
        <v>39</v>
      </c>
      <c r="B160" s="32" t="s">
        <v>178</v>
      </c>
      <c r="C160" s="32" t="s">
        <v>15</v>
      </c>
      <c r="D160" s="32" t="s">
        <v>186</v>
      </c>
      <c r="E160" s="32" t="s">
        <v>32</v>
      </c>
      <c r="F160" s="32" t="s">
        <v>106</v>
      </c>
      <c r="G160" s="32" t="s">
        <v>65</v>
      </c>
      <c r="H160" s="32" t="s">
        <v>188</v>
      </c>
      <c r="I160" s="32" t="s">
        <v>40</v>
      </c>
      <c r="J160" s="32" t="s">
        <v>0</v>
      </c>
      <c r="K160" s="32" t="s">
        <v>0</v>
      </c>
      <c r="L160" s="32" t="s">
        <v>0</v>
      </c>
      <c r="M160" s="61">
        <f>M162+M161</f>
        <v>3743988.1</v>
      </c>
      <c r="N160" s="61">
        <f t="shared" ref="N160:O160" si="42">N162+N161</f>
        <v>82527.399999999994</v>
      </c>
      <c r="O160" s="61">
        <f t="shared" si="42"/>
        <v>82527.399999999994</v>
      </c>
      <c r="P160" s="62">
        <f t="shared" si="38"/>
        <v>2.2042644847081645E-2</v>
      </c>
    </row>
    <row r="161" spans="1:16" ht="64.5" customHeight="1" x14ac:dyDescent="0.25">
      <c r="A161" s="70" t="s">
        <v>500</v>
      </c>
      <c r="B161" s="71" t="s">
        <v>178</v>
      </c>
      <c r="C161" s="71" t="s">
        <v>15</v>
      </c>
      <c r="D161" s="71" t="s">
        <v>186</v>
      </c>
      <c r="E161" s="71" t="s">
        <v>32</v>
      </c>
      <c r="F161" s="71" t="s">
        <v>106</v>
      </c>
      <c r="G161" s="71" t="s">
        <v>65</v>
      </c>
      <c r="H161" s="71" t="s">
        <v>188</v>
      </c>
      <c r="I161" s="71" t="s">
        <v>40</v>
      </c>
      <c r="J161" s="72"/>
      <c r="K161" s="75"/>
      <c r="L161" s="72"/>
      <c r="M161" s="73">
        <v>14450.4</v>
      </c>
      <c r="N161" s="73">
        <v>14450.4</v>
      </c>
      <c r="O161" s="73">
        <v>14450.4</v>
      </c>
      <c r="P161" s="74">
        <f t="shared" si="38"/>
        <v>1</v>
      </c>
    </row>
    <row r="162" spans="1:16" ht="64.5" customHeight="1" x14ac:dyDescent="0.25">
      <c r="A162" s="70" t="s">
        <v>189</v>
      </c>
      <c r="B162" s="71" t="s">
        <v>178</v>
      </c>
      <c r="C162" s="71" t="s">
        <v>15</v>
      </c>
      <c r="D162" s="71" t="s">
        <v>186</v>
      </c>
      <c r="E162" s="71" t="s">
        <v>32</v>
      </c>
      <c r="F162" s="71" t="s">
        <v>106</v>
      </c>
      <c r="G162" s="71" t="s">
        <v>65</v>
      </c>
      <c r="H162" s="71" t="s">
        <v>188</v>
      </c>
      <c r="I162" s="71" t="s">
        <v>40</v>
      </c>
      <c r="J162" s="72" t="s">
        <v>161</v>
      </c>
      <c r="K162" s="75">
        <v>7.0000000000000007E-2</v>
      </c>
      <c r="L162" s="72">
        <v>2020</v>
      </c>
      <c r="M162" s="73">
        <f>10000000-14450.4-6155689.6-100322.3</f>
        <v>3729537.7</v>
      </c>
      <c r="N162" s="73">
        <v>68077</v>
      </c>
      <c r="O162" s="73">
        <v>68077</v>
      </c>
      <c r="P162" s="74">
        <f t="shared" si="38"/>
        <v>1.8253468787833946E-2</v>
      </c>
    </row>
    <row r="163" spans="1:16" ht="59.25" customHeight="1" x14ac:dyDescent="0.25">
      <c r="A163" s="37" t="s">
        <v>190</v>
      </c>
      <c r="B163" s="32" t="s">
        <v>178</v>
      </c>
      <c r="C163" s="32" t="s">
        <v>18</v>
      </c>
      <c r="D163" s="32" t="s">
        <v>0</v>
      </c>
      <c r="E163" s="32" t="s">
        <v>0</v>
      </c>
      <c r="F163" s="32" t="s">
        <v>0</v>
      </c>
      <c r="G163" s="32" t="s">
        <v>0</v>
      </c>
      <c r="H163" s="38" t="s">
        <v>0</v>
      </c>
      <c r="I163" s="38" t="s">
        <v>0</v>
      </c>
      <c r="J163" s="38" t="s">
        <v>0</v>
      </c>
      <c r="K163" s="38" t="s">
        <v>0</v>
      </c>
      <c r="L163" s="38" t="s">
        <v>0</v>
      </c>
      <c r="M163" s="61">
        <f t="shared" ref="M163:O169" si="43">M164</f>
        <v>158303323.65000004</v>
      </c>
      <c r="N163" s="61">
        <f t="shared" si="43"/>
        <v>156714700.03999999</v>
      </c>
      <c r="O163" s="61">
        <f t="shared" si="43"/>
        <v>156721803.74000001</v>
      </c>
      <c r="P163" s="62">
        <f t="shared" si="38"/>
        <v>0.99000955966346804</v>
      </c>
    </row>
    <row r="164" spans="1:16" ht="39.75" customHeight="1" x14ac:dyDescent="0.25">
      <c r="A164" s="37" t="s">
        <v>191</v>
      </c>
      <c r="B164" s="32" t="s">
        <v>178</v>
      </c>
      <c r="C164" s="32" t="s">
        <v>18</v>
      </c>
      <c r="D164" s="32" t="s">
        <v>89</v>
      </c>
      <c r="E164" s="32" t="s">
        <v>0</v>
      </c>
      <c r="F164" s="32" t="s">
        <v>0</v>
      </c>
      <c r="G164" s="32" t="s">
        <v>0</v>
      </c>
      <c r="H164" s="38" t="s">
        <v>0</v>
      </c>
      <c r="I164" s="38" t="s">
        <v>0</v>
      </c>
      <c r="J164" s="38" t="s">
        <v>0</v>
      </c>
      <c r="K164" s="38" t="s">
        <v>0</v>
      </c>
      <c r="L164" s="38" t="s">
        <v>0</v>
      </c>
      <c r="M164" s="61">
        <f t="shared" si="43"/>
        <v>158303323.65000004</v>
      </c>
      <c r="N164" s="61">
        <f t="shared" si="43"/>
        <v>156714700.03999999</v>
      </c>
      <c r="O164" s="61">
        <f t="shared" si="43"/>
        <v>156721803.74000001</v>
      </c>
      <c r="P164" s="62">
        <f t="shared" si="38"/>
        <v>0.99000955966346804</v>
      </c>
    </row>
    <row r="165" spans="1:16" ht="44.25" customHeight="1" x14ac:dyDescent="0.25">
      <c r="A165" s="37" t="s">
        <v>31</v>
      </c>
      <c r="B165" s="32" t="s">
        <v>178</v>
      </c>
      <c r="C165" s="32" t="s">
        <v>18</v>
      </c>
      <c r="D165" s="32" t="s">
        <v>89</v>
      </c>
      <c r="E165" s="32" t="s">
        <v>32</v>
      </c>
      <c r="F165" s="32" t="s">
        <v>0</v>
      </c>
      <c r="G165" s="32" t="s">
        <v>0</v>
      </c>
      <c r="H165" s="38" t="s">
        <v>0</v>
      </c>
      <c r="I165" s="38" t="s">
        <v>0</v>
      </c>
      <c r="J165" s="38" t="s">
        <v>0</v>
      </c>
      <c r="K165" s="38" t="s">
        <v>0</v>
      </c>
      <c r="L165" s="38" t="s">
        <v>0</v>
      </c>
      <c r="M165" s="61">
        <f t="shared" si="43"/>
        <v>158303323.65000004</v>
      </c>
      <c r="N165" s="61">
        <f t="shared" si="43"/>
        <v>156714700.03999999</v>
      </c>
      <c r="O165" s="61">
        <f t="shared" si="43"/>
        <v>156721803.74000001</v>
      </c>
      <c r="P165" s="62">
        <f t="shared" si="38"/>
        <v>0.99000955966346804</v>
      </c>
    </row>
    <row r="166" spans="1:16" ht="80.099999999999994" customHeight="1" x14ac:dyDescent="0.25">
      <c r="A166" s="37" t="s">
        <v>33</v>
      </c>
      <c r="B166" s="32" t="s">
        <v>178</v>
      </c>
      <c r="C166" s="32" t="s">
        <v>18</v>
      </c>
      <c r="D166" s="32" t="s">
        <v>89</v>
      </c>
      <c r="E166" s="32" t="s">
        <v>32</v>
      </c>
      <c r="F166" s="32" t="s">
        <v>0</v>
      </c>
      <c r="G166" s="32" t="s">
        <v>0</v>
      </c>
      <c r="H166" s="38" t="s">
        <v>0</v>
      </c>
      <c r="I166" s="38" t="s">
        <v>0</v>
      </c>
      <c r="J166" s="38" t="s">
        <v>0</v>
      </c>
      <c r="K166" s="38" t="s">
        <v>0</v>
      </c>
      <c r="L166" s="38" t="s">
        <v>0</v>
      </c>
      <c r="M166" s="61">
        <f t="shared" si="43"/>
        <v>158303323.65000004</v>
      </c>
      <c r="N166" s="61">
        <f t="shared" si="43"/>
        <v>156714700.03999999</v>
      </c>
      <c r="O166" s="61">
        <f t="shared" si="43"/>
        <v>156721803.74000001</v>
      </c>
      <c r="P166" s="62">
        <f t="shared" si="38"/>
        <v>0.99000955966346804</v>
      </c>
    </row>
    <row r="167" spans="1:16" ht="15" customHeight="1" x14ac:dyDescent="0.25">
      <c r="A167" s="36" t="s">
        <v>47</v>
      </c>
      <c r="B167" s="32" t="s">
        <v>178</v>
      </c>
      <c r="C167" s="32" t="s">
        <v>18</v>
      </c>
      <c r="D167" s="32" t="s">
        <v>89</v>
      </c>
      <c r="E167" s="32" t="s">
        <v>32</v>
      </c>
      <c r="F167" s="32" t="s">
        <v>48</v>
      </c>
      <c r="G167" s="32" t="s">
        <v>0</v>
      </c>
      <c r="H167" s="32" t="s">
        <v>0</v>
      </c>
      <c r="I167" s="32" t="s">
        <v>0</v>
      </c>
      <c r="J167" s="32" t="s">
        <v>0</v>
      </c>
      <c r="K167" s="32" t="s">
        <v>0</v>
      </c>
      <c r="L167" s="32" t="s">
        <v>0</v>
      </c>
      <c r="M167" s="61">
        <f t="shared" si="43"/>
        <v>158303323.65000004</v>
      </c>
      <c r="N167" s="61">
        <f t="shared" si="43"/>
        <v>156714700.03999999</v>
      </c>
      <c r="O167" s="61">
        <f t="shared" si="43"/>
        <v>156721803.74000001</v>
      </c>
      <c r="P167" s="62">
        <f t="shared" si="38"/>
        <v>0.99000955966346804</v>
      </c>
    </row>
    <row r="168" spans="1:16" ht="15" customHeight="1" x14ac:dyDescent="0.25">
      <c r="A168" s="36" t="s">
        <v>49</v>
      </c>
      <c r="B168" s="32" t="s">
        <v>178</v>
      </c>
      <c r="C168" s="32" t="s">
        <v>18</v>
      </c>
      <c r="D168" s="32" t="s">
        <v>89</v>
      </c>
      <c r="E168" s="32" t="s">
        <v>32</v>
      </c>
      <c r="F168" s="32" t="s">
        <v>48</v>
      </c>
      <c r="G168" s="32" t="s">
        <v>28</v>
      </c>
      <c r="H168" s="32" t="s">
        <v>0</v>
      </c>
      <c r="I168" s="32" t="s">
        <v>0</v>
      </c>
      <c r="J168" s="32" t="s">
        <v>0</v>
      </c>
      <c r="K168" s="32" t="s">
        <v>0</v>
      </c>
      <c r="L168" s="32" t="s">
        <v>0</v>
      </c>
      <c r="M168" s="61">
        <f t="shared" si="43"/>
        <v>158303323.65000004</v>
      </c>
      <c r="N168" s="61">
        <f t="shared" si="43"/>
        <v>156714700.03999999</v>
      </c>
      <c r="O168" s="61">
        <f t="shared" si="43"/>
        <v>156721803.74000001</v>
      </c>
      <c r="P168" s="62">
        <f t="shared" si="38"/>
        <v>0.99000955966346804</v>
      </c>
    </row>
    <row r="169" spans="1:16" ht="59.25" customHeight="1" x14ac:dyDescent="0.25">
      <c r="A169" s="37" t="s">
        <v>37</v>
      </c>
      <c r="B169" s="32" t="s">
        <v>178</v>
      </c>
      <c r="C169" s="32" t="s">
        <v>18</v>
      </c>
      <c r="D169" s="32" t="s">
        <v>89</v>
      </c>
      <c r="E169" s="32" t="s">
        <v>32</v>
      </c>
      <c r="F169" s="32" t="s">
        <v>48</v>
      </c>
      <c r="G169" s="32" t="s">
        <v>28</v>
      </c>
      <c r="H169" s="32" t="s">
        <v>38</v>
      </c>
      <c r="I169" s="38" t="s">
        <v>0</v>
      </c>
      <c r="J169" s="38" t="s">
        <v>0</v>
      </c>
      <c r="K169" s="38" t="s">
        <v>0</v>
      </c>
      <c r="L169" s="38" t="s">
        <v>0</v>
      </c>
      <c r="M169" s="61">
        <f t="shared" si="43"/>
        <v>158303323.65000004</v>
      </c>
      <c r="N169" s="61">
        <f t="shared" si="43"/>
        <v>156714700.03999999</v>
      </c>
      <c r="O169" s="61">
        <f t="shared" si="43"/>
        <v>156721803.74000001</v>
      </c>
      <c r="P169" s="62">
        <f t="shared" si="38"/>
        <v>0.99000955966346804</v>
      </c>
    </row>
    <row r="170" spans="1:16" ht="72.75" customHeight="1" x14ac:dyDescent="0.25">
      <c r="A170" s="37" t="s">
        <v>39</v>
      </c>
      <c r="B170" s="32" t="s">
        <v>178</v>
      </c>
      <c r="C170" s="32" t="s">
        <v>18</v>
      </c>
      <c r="D170" s="32" t="s">
        <v>89</v>
      </c>
      <c r="E170" s="32" t="s">
        <v>32</v>
      </c>
      <c r="F170" s="32" t="s">
        <v>48</v>
      </c>
      <c r="G170" s="32" t="s">
        <v>28</v>
      </c>
      <c r="H170" s="32" t="s">
        <v>38</v>
      </c>
      <c r="I170" s="32" t="s">
        <v>40</v>
      </c>
      <c r="J170" s="32" t="s">
        <v>0</v>
      </c>
      <c r="K170" s="32" t="s">
        <v>0</v>
      </c>
      <c r="L170" s="32" t="s">
        <v>0</v>
      </c>
      <c r="M170" s="61">
        <f>M171+M172+M173+M174+M175+M176+M177+M178+M179</f>
        <v>158303323.65000004</v>
      </c>
      <c r="N170" s="61">
        <f t="shared" ref="N170:O170" si="44">N171+N172+N173+N174+N175+N176+N177+N178+N179</f>
        <v>156714700.03999999</v>
      </c>
      <c r="O170" s="61">
        <f t="shared" si="44"/>
        <v>156721803.74000001</v>
      </c>
      <c r="P170" s="62">
        <f t="shared" si="38"/>
        <v>0.99000955966346804</v>
      </c>
    </row>
    <row r="171" spans="1:16" ht="75" customHeight="1" x14ac:dyDescent="0.25">
      <c r="A171" s="4" t="s">
        <v>192</v>
      </c>
      <c r="B171" s="5" t="s">
        <v>178</v>
      </c>
      <c r="C171" s="5" t="s">
        <v>18</v>
      </c>
      <c r="D171" s="5" t="s">
        <v>89</v>
      </c>
      <c r="E171" s="5" t="s">
        <v>32</v>
      </c>
      <c r="F171" s="5" t="s">
        <v>48</v>
      </c>
      <c r="G171" s="5" t="s">
        <v>28</v>
      </c>
      <c r="H171" s="5" t="s">
        <v>38</v>
      </c>
      <c r="I171" s="5" t="s">
        <v>40</v>
      </c>
      <c r="J171" s="6" t="s">
        <v>161</v>
      </c>
      <c r="K171" s="6" t="s">
        <v>193</v>
      </c>
      <c r="L171" s="6" t="s">
        <v>53</v>
      </c>
      <c r="M171" s="63">
        <v>18275344.690000001</v>
      </c>
      <c r="N171" s="63">
        <v>18265344.690000001</v>
      </c>
      <c r="O171" s="63">
        <v>18265344.690000001</v>
      </c>
      <c r="P171" s="64">
        <f t="shared" si="38"/>
        <v>0.99945281469818337</v>
      </c>
    </row>
    <row r="172" spans="1:16" ht="78" customHeight="1" x14ac:dyDescent="0.25">
      <c r="A172" s="4" t="s">
        <v>194</v>
      </c>
      <c r="B172" s="5" t="s">
        <v>178</v>
      </c>
      <c r="C172" s="5" t="s">
        <v>18</v>
      </c>
      <c r="D172" s="5" t="s">
        <v>89</v>
      </c>
      <c r="E172" s="5" t="s">
        <v>32</v>
      </c>
      <c r="F172" s="5" t="s">
        <v>48</v>
      </c>
      <c r="G172" s="5" t="s">
        <v>28</v>
      </c>
      <c r="H172" s="5" t="s">
        <v>38</v>
      </c>
      <c r="I172" s="5" t="s">
        <v>40</v>
      </c>
      <c r="J172" s="6" t="s">
        <v>161</v>
      </c>
      <c r="K172" s="6" t="s">
        <v>195</v>
      </c>
      <c r="L172" s="6" t="s">
        <v>53</v>
      </c>
      <c r="M172" s="63">
        <v>11935686.710000001</v>
      </c>
      <c r="N172" s="63">
        <v>11935686.710000001</v>
      </c>
      <c r="O172" s="63">
        <v>11935686.710000001</v>
      </c>
      <c r="P172" s="64">
        <f t="shared" si="38"/>
        <v>1</v>
      </c>
    </row>
    <row r="173" spans="1:16" ht="73.5" customHeight="1" x14ac:dyDescent="0.25">
      <c r="A173" s="4" t="s">
        <v>196</v>
      </c>
      <c r="B173" s="5" t="s">
        <v>178</v>
      </c>
      <c r="C173" s="5" t="s">
        <v>18</v>
      </c>
      <c r="D173" s="5" t="s">
        <v>89</v>
      </c>
      <c r="E173" s="5" t="s">
        <v>32</v>
      </c>
      <c r="F173" s="5" t="s">
        <v>48</v>
      </c>
      <c r="G173" s="5" t="s">
        <v>28</v>
      </c>
      <c r="H173" s="5" t="s">
        <v>38</v>
      </c>
      <c r="I173" s="5" t="s">
        <v>40</v>
      </c>
      <c r="J173" s="6" t="s">
        <v>161</v>
      </c>
      <c r="K173" s="6">
        <v>10.586</v>
      </c>
      <c r="L173" s="6" t="s">
        <v>53</v>
      </c>
      <c r="M173" s="63">
        <v>12090680.690000001</v>
      </c>
      <c r="N173" s="63">
        <v>12090680.689999999</v>
      </c>
      <c r="O173" s="63">
        <v>12090680.689999999</v>
      </c>
      <c r="P173" s="64">
        <f t="shared" si="38"/>
        <v>0.99999999999999989</v>
      </c>
    </row>
    <row r="174" spans="1:16" ht="73.5" customHeight="1" x14ac:dyDescent="0.25">
      <c r="A174" s="4" t="s">
        <v>197</v>
      </c>
      <c r="B174" s="5" t="s">
        <v>178</v>
      </c>
      <c r="C174" s="5" t="s">
        <v>18</v>
      </c>
      <c r="D174" s="5" t="s">
        <v>89</v>
      </c>
      <c r="E174" s="5" t="s">
        <v>32</v>
      </c>
      <c r="F174" s="5" t="s">
        <v>48</v>
      </c>
      <c r="G174" s="5" t="s">
        <v>28</v>
      </c>
      <c r="H174" s="5" t="s">
        <v>38</v>
      </c>
      <c r="I174" s="5" t="s">
        <v>40</v>
      </c>
      <c r="J174" s="6" t="s">
        <v>161</v>
      </c>
      <c r="K174" s="6">
        <v>7.1239999999999997</v>
      </c>
      <c r="L174" s="6" t="s">
        <v>53</v>
      </c>
      <c r="M174" s="63">
        <v>7828181.29</v>
      </c>
      <c r="N174" s="63">
        <v>7828181.29</v>
      </c>
      <c r="O174" s="63">
        <v>7828181.29</v>
      </c>
      <c r="P174" s="64">
        <f t="shared" si="38"/>
        <v>1</v>
      </c>
    </row>
    <row r="175" spans="1:16" ht="73.5" customHeight="1" x14ac:dyDescent="0.25">
      <c r="A175" s="4" t="s">
        <v>198</v>
      </c>
      <c r="B175" s="5" t="s">
        <v>178</v>
      </c>
      <c r="C175" s="5" t="s">
        <v>18</v>
      </c>
      <c r="D175" s="5" t="s">
        <v>89</v>
      </c>
      <c r="E175" s="5" t="s">
        <v>32</v>
      </c>
      <c r="F175" s="5" t="s">
        <v>48</v>
      </c>
      <c r="G175" s="5" t="s">
        <v>28</v>
      </c>
      <c r="H175" s="5" t="s">
        <v>38</v>
      </c>
      <c r="I175" s="5" t="s">
        <v>40</v>
      </c>
      <c r="J175" s="6" t="s">
        <v>161</v>
      </c>
      <c r="K175" s="6">
        <v>5.5819999999999999</v>
      </c>
      <c r="L175" s="6" t="s">
        <v>53</v>
      </c>
      <c r="M175" s="63">
        <v>5815587.4500000002</v>
      </c>
      <c r="N175" s="63">
        <v>5815587.4500000002</v>
      </c>
      <c r="O175" s="63">
        <v>5815587.4500000002</v>
      </c>
      <c r="P175" s="64">
        <f t="shared" si="38"/>
        <v>1</v>
      </c>
    </row>
    <row r="176" spans="1:16" ht="87.75" customHeight="1" x14ac:dyDescent="0.25">
      <c r="A176" s="4" t="s">
        <v>199</v>
      </c>
      <c r="B176" s="5" t="s">
        <v>178</v>
      </c>
      <c r="C176" s="5" t="s">
        <v>18</v>
      </c>
      <c r="D176" s="5" t="s">
        <v>89</v>
      </c>
      <c r="E176" s="5" t="s">
        <v>32</v>
      </c>
      <c r="F176" s="5" t="s">
        <v>48</v>
      </c>
      <c r="G176" s="5" t="s">
        <v>28</v>
      </c>
      <c r="H176" s="5" t="s">
        <v>38</v>
      </c>
      <c r="I176" s="5" t="s">
        <v>40</v>
      </c>
      <c r="J176" s="6" t="s">
        <v>161</v>
      </c>
      <c r="K176" s="6" t="s">
        <v>200</v>
      </c>
      <c r="L176" s="6" t="s">
        <v>53</v>
      </c>
      <c r="M176" s="63">
        <v>22162913.379999999</v>
      </c>
      <c r="N176" s="63">
        <v>22152592.390000001</v>
      </c>
      <c r="O176" s="63">
        <v>22152592.390000001</v>
      </c>
      <c r="P176" s="64">
        <f t="shared" si="38"/>
        <v>0.999534312577817</v>
      </c>
    </row>
    <row r="177" spans="1:16" ht="88.5" customHeight="1" x14ac:dyDescent="0.25">
      <c r="A177" s="4" t="s">
        <v>201</v>
      </c>
      <c r="B177" s="5" t="s">
        <v>178</v>
      </c>
      <c r="C177" s="5" t="s">
        <v>18</v>
      </c>
      <c r="D177" s="5" t="s">
        <v>89</v>
      </c>
      <c r="E177" s="5" t="s">
        <v>32</v>
      </c>
      <c r="F177" s="5" t="s">
        <v>48</v>
      </c>
      <c r="G177" s="5" t="s">
        <v>28</v>
      </c>
      <c r="H177" s="5" t="s">
        <v>38</v>
      </c>
      <c r="I177" s="5" t="s">
        <v>40</v>
      </c>
      <c r="J177" s="6" t="s">
        <v>161</v>
      </c>
      <c r="K177" s="6" t="s">
        <v>202</v>
      </c>
      <c r="L177" s="6" t="s">
        <v>53</v>
      </c>
      <c r="M177" s="63">
        <v>27420182.240000002</v>
      </c>
      <c r="N177" s="63">
        <v>27409861.25</v>
      </c>
      <c r="O177" s="63">
        <v>27409861.25</v>
      </c>
      <c r="P177" s="64">
        <f t="shared" si="38"/>
        <v>0.99962359878174167</v>
      </c>
    </row>
    <row r="178" spans="1:16" ht="87.75" customHeight="1" x14ac:dyDescent="0.25">
      <c r="A178" s="4" t="s">
        <v>203</v>
      </c>
      <c r="B178" s="5" t="s">
        <v>178</v>
      </c>
      <c r="C178" s="5" t="s">
        <v>18</v>
      </c>
      <c r="D178" s="5" t="s">
        <v>89</v>
      </c>
      <c r="E178" s="5" t="s">
        <v>32</v>
      </c>
      <c r="F178" s="5" t="s">
        <v>48</v>
      </c>
      <c r="G178" s="5" t="s">
        <v>28</v>
      </c>
      <c r="H178" s="5" t="s">
        <v>38</v>
      </c>
      <c r="I178" s="5" t="s">
        <v>40</v>
      </c>
      <c r="J178" s="6" t="s">
        <v>161</v>
      </c>
      <c r="K178" s="6" t="s">
        <v>204</v>
      </c>
      <c r="L178" s="6" t="s">
        <v>53</v>
      </c>
      <c r="M178" s="63">
        <v>22300054.199999999</v>
      </c>
      <c r="N178" s="63">
        <v>22266054.199999999</v>
      </c>
      <c r="O178" s="63">
        <v>22273157.899999999</v>
      </c>
      <c r="P178" s="64">
        <f t="shared" si="38"/>
        <v>0.99879389082381687</v>
      </c>
    </row>
    <row r="179" spans="1:16" ht="88.5" customHeight="1" x14ac:dyDescent="0.25">
      <c r="A179" s="4" t="s">
        <v>205</v>
      </c>
      <c r="B179" s="5" t="s">
        <v>178</v>
      </c>
      <c r="C179" s="5" t="s">
        <v>18</v>
      </c>
      <c r="D179" s="5" t="s">
        <v>89</v>
      </c>
      <c r="E179" s="5" t="s">
        <v>32</v>
      </c>
      <c r="F179" s="5" t="s">
        <v>48</v>
      </c>
      <c r="G179" s="5" t="s">
        <v>28</v>
      </c>
      <c r="H179" s="5" t="s">
        <v>38</v>
      </c>
      <c r="I179" s="5" t="s">
        <v>40</v>
      </c>
      <c r="J179" s="6" t="s">
        <v>161</v>
      </c>
      <c r="K179" s="6" t="s">
        <v>206</v>
      </c>
      <c r="L179" s="6" t="s">
        <v>53</v>
      </c>
      <c r="M179" s="63">
        <f>34809835-4335142</f>
        <v>30474693</v>
      </c>
      <c r="N179" s="63">
        <v>28950711.370000001</v>
      </c>
      <c r="O179" s="63">
        <v>28950711.370000001</v>
      </c>
      <c r="P179" s="64">
        <f t="shared" si="38"/>
        <v>0.94999189557053132</v>
      </c>
    </row>
    <row r="180" spans="1:16" ht="39.75" customHeight="1" x14ac:dyDescent="0.25">
      <c r="A180" s="37" t="s">
        <v>207</v>
      </c>
      <c r="B180" s="32" t="s">
        <v>149</v>
      </c>
      <c r="C180" s="32" t="s">
        <v>0</v>
      </c>
      <c r="D180" s="32" t="s">
        <v>0</v>
      </c>
      <c r="E180" s="32" t="s">
        <v>0</v>
      </c>
      <c r="F180" s="32" t="s">
        <v>0</v>
      </c>
      <c r="G180" s="32" t="s">
        <v>0</v>
      </c>
      <c r="H180" s="38" t="s">
        <v>0</v>
      </c>
      <c r="I180" s="38" t="s">
        <v>0</v>
      </c>
      <c r="J180" s="38" t="s">
        <v>0</v>
      </c>
      <c r="K180" s="38" t="s">
        <v>0</v>
      </c>
      <c r="L180" s="38" t="s">
        <v>0</v>
      </c>
      <c r="M180" s="61">
        <f>M181+M196</f>
        <v>827015163.36000001</v>
      </c>
      <c r="N180" s="61">
        <f t="shared" ref="N180:O180" si="45">N181+N196</f>
        <v>599592690.53999996</v>
      </c>
      <c r="O180" s="61">
        <f t="shared" si="45"/>
        <v>614191861.88</v>
      </c>
      <c r="P180" s="62">
        <f t="shared" si="38"/>
        <v>0.74266094394770132</v>
      </c>
    </row>
    <row r="181" spans="1:16" ht="38.25" customHeight="1" x14ac:dyDescent="0.25">
      <c r="A181" s="37" t="s">
        <v>208</v>
      </c>
      <c r="B181" s="32" t="s">
        <v>149</v>
      </c>
      <c r="C181" s="32" t="s">
        <v>30</v>
      </c>
      <c r="D181" s="32" t="s">
        <v>61</v>
      </c>
      <c r="E181" s="32" t="s">
        <v>0</v>
      </c>
      <c r="F181" s="32" t="s">
        <v>0</v>
      </c>
      <c r="G181" s="32" t="s">
        <v>0</v>
      </c>
      <c r="H181" s="38" t="s">
        <v>0</v>
      </c>
      <c r="I181" s="38" t="s">
        <v>0</v>
      </c>
      <c r="J181" s="38" t="s">
        <v>0</v>
      </c>
      <c r="K181" s="38" t="s">
        <v>0</v>
      </c>
      <c r="L181" s="38" t="s">
        <v>0</v>
      </c>
      <c r="M181" s="61">
        <f>M182+M189</f>
        <v>48972282</v>
      </c>
      <c r="N181" s="61">
        <f t="shared" ref="N181:O181" si="46">N182+N189</f>
        <v>34183131.409999996</v>
      </c>
      <c r="O181" s="61">
        <f t="shared" si="46"/>
        <v>36402740.409999996</v>
      </c>
      <c r="P181" s="62">
        <f t="shared" si="38"/>
        <v>0.74333355366204901</v>
      </c>
    </row>
    <row r="182" spans="1:16" ht="41.25" customHeight="1" x14ac:dyDescent="0.25">
      <c r="A182" s="37" t="s">
        <v>31</v>
      </c>
      <c r="B182" s="32" t="s">
        <v>149</v>
      </c>
      <c r="C182" s="32" t="s">
        <v>30</v>
      </c>
      <c r="D182" s="32" t="s">
        <v>61</v>
      </c>
      <c r="E182" s="32" t="s">
        <v>32</v>
      </c>
      <c r="F182" s="32" t="s">
        <v>0</v>
      </c>
      <c r="G182" s="32" t="s">
        <v>0</v>
      </c>
      <c r="H182" s="38" t="s">
        <v>0</v>
      </c>
      <c r="I182" s="38" t="s">
        <v>0</v>
      </c>
      <c r="J182" s="38" t="s">
        <v>0</v>
      </c>
      <c r="K182" s="38" t="s">
        <v>0</v>
      </c>
      <c r="L182" s="38" t="s">
        <v>0</v>
      </c>
      <c r="M182" s="61">
        <f>M183</f>
        <v>40000000</v>
      </c>
      <c r="N182" s="61">
        <f t="shared" ref="N182:O183" si="47">N183</f>
        <v>27430458.41</v>
      </c>
      <c r="O182" s="61">
        <f t="shared" si="47"/>
        <v>27430458.41</v>
      </c>
      <c r="P182" s="62">
        <f t="shared" si="38"/>
        <v>0.68576146024999995</v>
      </c>
    </row>
    <row r="183" spans="1:16" ht="87.75" customHeight="1" x14ac:dyDescent="0.25">
      <c r="A183" s="37" t="s">
        <v>33</v>
      </c>
      <c r="B183" s="32" t="s">
        <v>149</v>
      </c>
      <c r="C183" s="32" t="s">
        <v>30</v>
      </c>
      <c r="D183" s="32" t="s">
        <v>61</v>
      </c>
      <c r="E183" s="32" t="s">
        <v>32</v>
      </c>
      <c r="F183" s="32" t="s">
        <v>0</v>
      </c>
      <c r="G183" s="32" t="s">
        <v>0</v>
      </c>
      <c r="H183" s="38" t="s">
        <v>0</v>
      </c>
      <c r="I183" s="38" t="s">
        <v>0</v>
      </c>
      <c r="J183" s="38" t="s">
        <v>0</v>
      </c>
      <c r="K183" s="38" t="s">
        <v>0</v>
      </c>
      <c r="L183" s="38" t="s">
        <v>0</v>
      </c>
      <c r="M183" s="61">
        <f>M184</f>
        <v>40000000</v>
      </c>
      <c r="N183" s="61">
        <f t="shared" si="47"/>
        <v>27430458.41</v>
      </c>
      <c r="O183" s="61">
        <f t="shared" si="47"/>
        <v>27430458.41</v>
      </c>
      <c r="P183" s="62">
        <f t="shared" si="38"/>
        <v>0.68576146024999995</v>
      </c>
    </row>
    <row r="184" spans="1:16" ht="25.5" customHeight="1" x14ac:dyDescent="0.25">
      <c r="A184" s="36" t="s">
        <v>209</v>
      </c>
      <c r="B184" s="32" t="s">
        <v>149</v>
      </c>
      <c r="C184" s="32" t="s">
        <v>30</v>
      </c>
      <c r="D184" s="32" t="s">
        <v>61</v>
      </c>
      <c r="E184" s="32" t="s">
        <v>32</v>
      </c>
      <c r="F184" s="32" t="s">
        <v>23</v>
      </c>
      <c r="G184" s="32" t="s">
        <v>0</v>
      </c>
      <c r="H184" s="32" t="s">
        <v>0</v>
      </c>
      <c r="I184" s="32" t="s">
        <v>0</v>
      </c>
      <c r="J184" s="32" t="s">
        <v>0</v>
      </c>
      <c r="K184" s="32" t="s">
        <v>0</v>
      </c>
      <c r="L184" s="32" t="s">
        <v>0</v>
      </c>
      <c r="M184" s="61">
        <f>+M185</f>
        <v>40000000</v>
      </c>
      <c r="N184" s="61">
        <f t="shared" ref="N184:O184" si="48">+N185</f>
        <v>27430458.41</v>
      </c>
      <c r="O184" s="61">
        <f t="shared" si="48"/>
        <v>27430458.41</v>
      </c>
      <c r="P184" s="62">
        <f t="shared" si="38"/>
        <v>0.68576146024999995</v>
      </c>
    </row>
    <row r="185" spans="1:16" ht="25.5" customHeight="1" x14ac:dyDescent="0.25">
      <c r="A185" s="36" t="s">
        <v>220</v>
      </c>
      <c r="B185" s="32" t="s">
        <v>149</v>
      </c>
      <c r="C185" s="32" t="s">
        <v>30</v>
      </c>
      <c r="D185" s="32" t="s">
        <v>61</v>
      </c>
      <c r="E185" s="32">
        <v>819</v>
      </c>
      <c r="F185" s="32" t="s">
        <v>23</v>
      </c>
      <c r="G185" s="32" t="s">
        <v>28</v>
      </c>
      <c r="H185" s="32" t="s">
        <v>0</v>
      </c>
      <c r="I185" s="32" t="s">
        <v>0</v>
      </c>
      <c r="J185" s="32" t="s">
        <v>0</v>
      </c>
      <c r="K185" s="32" t="s">
        <v>0</v>
      </c>
      <c r="L185" s="32" t="s">
        <v>0</v>
      </c>
      <c r="M185" s="61">
        <f>M186</f>
        <v>40000000</v>
      </c>
      <c r="N185" s="61">
        <f t="shared" ref="N185:O187" si="49">N186</f>
        <v>27430458.41</v>
      </c>
      <c r="O185" s="61">
        <f t="shared" si="49"/>
        <v>27430458.41</v>
      </c>
      <c r="P185" s="62">
        <f t="shared" si="38"/>
        <v>0.68576146024999995</v>
      </c>
    </row>
    <row r="186" spans="1:16" ht="66.75" customHeight="1" x14ac:dyDescent="0.25">
      <c r="A186" s="37" t="s">
        <v>37</v>
      </c>
      <c r="B186" s="32" t="s">
        <v>149</v>
      </c>
      <c r="C186" s="32" t="s">
        <v>30</v>
      </c>
      <c r="D186" s="32" t="s">
        <v>61</v>
      </c>
      <c r="E186" s="32">
        <v>819</v>
      </c>
      <c r="F186" s="32" t="s">
        <v>23</v>
      </c>
      <c r="G186" s="32" t="s">
        <v>28</v>
      </c>
      <c r="H186" s="32" t="s">
        <v>38</v>
      </c>
      <c r="I186" s="38" t="s">
        <v>0</v>
      </c>
      <c r="J186" s="38" t="s">
        <v>0</v>
      </c>
      <c r="K186" s="38" t="s">
        <v>0</v>
      </c>
      <c r="L186" s="38" t="s">
        <v>0</v>
      </c>
      <c r="M186" s="61">
        <f>M187</f>
        <v>40000000</v>
      </c>
      <c r="N186" s="61">
        <f t="shared" si="49"/>
        <v>27430458.41</v>
      </c>
      <c r="O186" s="61">
        <f t="shared" si="49"/>
        <v>27430458.41</v>
      </c>
      <c r="P186" s="62">
        <f t="shared" si="38"/>
        <v>0.68576146024999995</v>
      </c>
    </row>
    <row r="187" spans="1:16" ht="96.6" customHeight="1" x14ac:dyDescent="0.25">
      <c r="A187" s="37" t="s">
        <v>125</v>
      </c>
      <c r="B187" s="32" t="s">
        <v>149</v>
      </c>
      <c r="C187" s="32" t="s">
        <v>30</v>
      </c>
      <c r="D187" s="32" t="s">
        <v>61</v>
      </c>
      <c r="E187" s="32">
        <v>819</v>
      </c>
      <c r="F187" s="32" t="s">
        <v>23</v>
      </c>
      <c r="G187" s="32" t="s">
        <v>28</v>
      </c>
      <c r="H187" s="32" t="s">
        <v>38</v>
      </c>
      <c r="I187" s="32">
        <v>414</v>
      </c>
      <c r="J187" s="32" t="s">
        <v>0</v>
      </c>
      <c r="K187" s="32" t="s">
        <v>0</v>
      </c>
      <c r="L187" s="32" t="s">
        <v>0</v>
      </c>
      <c r="M187" s="61">
        <f>M188</f>
        <v>40000000</v>
      </c>
      <c r="N187" s="61">
        <f t="shared" si="49"/>
        <v>27430458.41</v>
      </c>
      <c r="O187" s="61">
        <f t="shared" si="49"/>
        <v>27430458.41</v>
      </c>
      <c r="P187" s="62">
        <f t="shared" si="38"/>
        <v>0.68576146024999995</v>
      </c>
    </row>
    <row r="188" spans="1:16" ht="64.5" customHeight="1" x14ac:dyDescent="0.25">
      <c r="A188" s="4" t="s">
        <v>491</v>
      </c>
      <c r="B188" s="5" t="s">
        <v>149</v>
      </c>
      <c r="C188" s="5" t="s">
        <v>30</v>
      </c>
      <c r="D188" s="5" t="s">
        <v>61</v>
      </c>
      <c r="E188" s="5">
        <v>819</v>
      </c>
      <c r="F188" s="5" t="s">
        <v>23</v>
      </c>
      <c r="G188" s="5" t="s">
        <v>28</v>
      </c>
      <c r="H188" s="5" t="s">
        <v>38</v>
      </c>
      <c r="I188" s="5">
        <v>414</v>
      </c>
      <c r="J188" s="6" t="s">
        <v>148</v>
      </c>
      <c r="K188" s="6">
        <v>45</v>
      </c>
      <c r="L188" s="6">
        <v>2021</v>
      </c>
      <c r="M188" s="63">
        <v>40000000</v>
      </c>
      <c r="N188" s="63">
        <v>27430458.41</v>
      </c>
      <c r="O188" s="63">
        <v>27430458.41</v>
      </c>
      <c r="P188" s="64">
        <f t="shared" si="38"/>
        <v>0.68576146024999995</v>
      </c>
    </row>
    <row r="189" spans="1:16" ht="32.25" customHeight="1" x14ac:dyDescent="0.25">
      <c r="A189" s="37" t="s">
        <v>217</v>
      </c>
      <c r="B189" s="32" t="s">
        <v>149</v>
      </c>
      <c r="C189" s="32" t="s">
        <v>30</v>
      </c>
      <c r="D189" s="32" t="s">
        <v>61</v>
      </c>
      <c r="E189" s="32" t="s">
        <v>218</v>
      </c>
      <c r="F189" s="32" t="s">
        <v>0</v>
      </c>
      <c r="G189" s="32" t="s">
        <v>0</v>
      </c>
      <c r="H189" s="38" t="s">
        <v>0</v>
      </c>
      <c r="I189" s="38" t="s">
        <v>0</v>
      </c>
      <c r="J189" s="38" t="s">
        <v>0</v>
      </c>
      <c r="K189" s="38" t="s">
        <v>0</v>
      </c>
      <c r="L189" s="38" t="s">
        <v>0</v>
      </c>
      <c r="M189" s="61">
        <f t="shared" ref="M189:O194" si="50">M190</f>
        <v>8972282</v>
      </c>
      <c r="N189" s="61">
        <f t="shared" si="50"/>
        <v>6752673</v>
      </c>
      <c r="O189" s="61">
        <f t="shared" si="50"/>
        <v>8972282</v>
      </c>
      <c r="P189" s="62">
        <f t="shared" si="38"/>
        <v>1</v>
      </c>
    </row>
    <row r="190" spans="1:16" ht="64.5" customHeight="1" x14ac:dyDescent="0.25">
      <c r="A190" s="37" t="s">
        <v>219</v>
      </c>
      <c r="B190" s="32" t="s">
        <v>149</v>
      </c>
      <c r="C190" s="32" t="s">
        <v>30</v>
      </c>
      <c r="D190" s="32" t="s">
        <v>61</v>
      </c>
      <c r="E190" s="32" t="s">
        <v>218</v>
      </c>
      <c r="F190" s="32" t="s">
        <v>0</v>
      </c>
      <c r="G190" s="32" t="s">
        <v>0</v>
      </c>
      <c r="H190" s="38" t="s">
        <v>0</v>
      </c>
      <c r="I190" s="38" t="s">
        <v>0</v>
      </c>
      <c r="J190" s="38" t="s">
        <v>0</v>
      </c>
      <c r="K190" s="38" t="s">
        <v>0</v>
      </c>
      <c r="L190" s="38" t="s">
        <v>0</v>
      </c>
      <c r="M190" s="61">
        <f t="shared" si="50"/>
        <v>8972282</v>
      </c>
      <c r="N190" s="61">
        <f t="shared" si="50"/>
        <v>6752673</v>
      </c>
      <c r="O190" s="61">
        <f t="shared" si="50"/>
        <v>8972282</v>
      </c>
      <c r="P190" s="62">
        <f t="shared" si="38"/>
        <v>1</v>
      </c>
    </row>
    <row r="191" spans="1:16" ht="15" customHeight="1" x14ac:dyDescent="0.25">
      <c r="A191" s="36" t="s">
        <v>209</v>
      </c>
      <c r="B191" s="32" t="s">
        <v>149</v>
      </c>
      <c r="C191" s="32" t="s">
        <v>30</v>
      </c>
      <c r="D191" s="32" t="s">
        <v>61</v>
      </c>
      <c r="E191" s="32" t="s">
        <v>218</v>
      </c>
      <c r="F191" s="32" t="s">
        <v>23</v>
      </c>
      <c r="G191" s="32" t="s">
        <v>0</v>
      </c>
      <c r="H191" s="32" t="s">
        <v>0</v>
      </c>
      <c r="I191" s="32" t="s">
        <v>0</v>
      </c>
      <c r="J191" s="32" t="s">
        <v>0</v>
      </c>
      <c r="K191" s="32" t="s">
        <v>0</v>
      </c>
      <c r="L191" s="32" t="s">
        <v>0</v>
      </c>
      <c r="M191" s="61">
        <f t="shared" si="50"/>
        <v>8972282</v>
      </c>
      <c r="N191" s="61">
        <f t="shared" si="50"/>
        <v>6752673</v>
      </c>
      <c r="O191" s="61">
        <f t="shared" si="50"/>
        <v>8972282</v>
      </c>
      <c r="P191" s="62">
        <f t="shared" si="38"/>
        <v>1</v>
      </c>
    </row>
    <row r="192" spans="1:16" ht="15" customHeight="1" x14ac:dyDescent="0.25">
      <c r="A192" s="36" t="s">
        <v>220</v>
      </c>
      <c r="B192" s="32" t="s">
        <v>149</v>
      </c>
      <c r="C192" s="32" t="s">
        <v>30</v>
      </c>
      <c r="D192" s="32" t="s">
        <v>61</v>
      </c>
      <c r="E192" s="32" t="s">
        <v>218</v>
      </c>
      <c r="F192" s="32" t="s">
        <v>23</v>
      </c>
      <c r="G192" s="32" t="s">
        <v>28</v>
      </c>
      <c r="H192" s="32" t="s">
        <v>0</v>
      </c>
      <c r="I192" s="32" t="s">
        <v>0</v>
      </c>
      <c r="J192" s="32" t="s">
        <v>0</v>
      </c>
      <c r="K192" s="32" t="s">
        <v>0</v>
      </c>
      <c r="L192" s="32" t="s">
        <v>0</v>
      </c>
      <c r="M192" s="61">
        <f t="shared" si="50"/>
        <v>8972282</v>
      </c>
      <c r="N192" s="61">
        <f t="shared" si="50"/>
        <v>6752673</v>
      </c>
      <c r="O192" s="61">
        <f t="shared" si="50"/>
        <v>8972282</v>
      </c>
      <c r="P192" s="62">
        <f t="shared" si="38"/>
        <v>1</v>
      </c>
    </row>
    <row r="193" spans="1:16" ht="48.9" customHeight="1" x14ac:dyDescent="0.25">
      <c r="A193" s="37" t="s">
        <v>37</v>
      </c>
      <c r="B193" s="32" t="s">
        <v>149</v>
      </c>
      <c r="C193" s="32" t="s">
        <v>30</v>
      </c>
      <c r="D193" s="32" t="s">
        <v>61</v>
      </c>
      <c r="E193" s="32" t="s">
        <v>218</v>
      </c>
      <c r="F193" s="32" t="s">
        <v>23</v>
      </c>
      <c r="G193" s="32" t="s">
        <v>28</v>
      </c>
      <c r="H193" s="32" t="s">
        <v>38</v>
      </c>
      <c r="I193" s="38" t="s">
        <v>0</v>
      </c>
      <c r="J193" s="38" t="s">
        <v>0</v>
      </c>
      <c r="K193" s="38" t="s">
        <v>0</v>
      </c>
      <c r="L193" s="38" t="s">
        <v>0</v>
      </c>
      <c r="M193" s="61">
        <f t="shared" si="50"/>
        <v>8972282</v>
      </c>
      <c r="N193" s="61">
        <f t="shared" si="50"/>
        <v>6752673</v>
      </c>
      <c r="O193" s="61">
        <f t="shared" si="50"/>
        <v>8972282</v>
      </c>
      <c r="P193" s="62">
        <f t="shared" si="38"/>
        <v>1</v>
      </c>
    </row>
    <row r="194" spans="1:16" ht="96.6" customHeight="1" x14ac:dyDescent="0.25">
      <c r="A194" s="37" t="s">
        <v>125</v>
      </c>
      <c r="B194" s="32" t="s">
        <v>149</v>
      </c>
      <c r="C194" s="32" t="s">
        <v>30</v>
      </c>
      <c r="D194" s="32" t="s">
        <v>61</v>
      </c>
      <c r="E194" s="32" t="s">
        <v>218</v>
      </c>
      <c r="F194" s="32" t="s">
        <v>23</v>
      </c>
      <c r="G194" s="32" t="s">
        <v>28</v>
      </c>
      <c r="H194" s="32" t="s">
        <v>38</v>
      </c>
      <c r="I194" s="32" t="s">
        <v>126</v>
      </c>
      <c r="J194" s="32" t="s">
        <v>0</v>
      </c>
      <c r="K194" s="32" t="s">
        <v>0</v>
      </c>
      <c r="L194" s="32" t="s">
        <v>0</v>
      </c>
      <c r="M194" s="61">
        <f t="shared" si="50"/>
        <v>8972282</v>
      </c>
      <c r="N194" s="61">
        <f t="shared" si="50"/>
        <v>6752673</v>
      </c>
      <c r="O194" s="61">
        <f t="shared" si="50"/>
        <v>8972282</v>
      </c>
      <c r="P194" s="62">
        <f t="shared" si="38"/>
        <v>1</v>
      </c>
    </row>
    <row r="195" spans="1:16" ht="72" customHeight="1" x14ac:dyDescent="0.25">
      <c r="A195" s="4" t="s">
        <v>221</v>
      </c>
      <c r="B195" s="5" t="s">
        <v>149</v>
      </c>
      <c r="C195" s="5" t="s">
        <v>30</v>
      </c>
      <c r="D195" s="5" t="s">
        <v>61</v>
      </c>
      <c r="E195" s="5" t="s">
        <v>218</v>
      </c>
      <c r="F195" s="5" t="s">
        <v>23</v>
      </c>
      <c r="G195" s="5" t="s">
        <v>28</v>
      </c>
      <c r="H195" s="5" t="s">
        <v>38</v>
      </c>
      <c r="I195" s="5" t="s">
        <v>126</v>
      </c>
      <c r="J195" s="6" t="s">
        <v>222</v>
      </c>
      <c r="K195" s="6" t="s">
        <v>16</v>
      </c>
      <c r="L195" s="6" t="s">
        <v>53</v>
      </c>
      <c r="M195" s="63">
        <v>8972282</v>
      </c>
      <c r="N195" s="63">
        <v>6752673</v>
      </c>
      <c r="O195" s="63">
        <v>8972282</v>
      </c>
      <c r="P195" s="64">
        <f t="shared" si="38"/>
        <v>1</v>
      </c>
    </row>
    <row r="196" spans="1:16" ht="54.75" customHeight="1" x14ac:dyDescent="0.25">
      <c r="A196" s="37" t="s">
        <v>223</v>
      </c>
      <c r="B196" s="32" t="s">
        <v>149</v>
      </c>
      <c r="C196" s="32" t="s">
        <v>13</v>
      </c>
      <c r="D196" s="32" t="s">
        <v>0</v>
      </c>
      <c r="E196" s="32" t="s">
        <v>0</v>
      </c>
      <c r="F196" s="32" t="s">
        <v>0</v>
      </c>
      <c r="G196" s="32" t="s">
        <v>0</v>
      </c>
      <c r="H196" s="38" t="s">
        <v>0</v>
      </c>
      <c r="I196" s="38" t="s">
        <v>0</v>
      </c>
      <c r="J196" s="38" t="s">
        <v>0</v>
      </c>
      <c r="K196" s="38" t="s">
        <v>0</v>
      </c>
      <c r="L196" s="38" t="s">
        <v>0</v>
      </c>
      <c r="M196" s="61">
        <f>M197</f>
        <v>778042881.36000001</v>
      </c>
      <c r="N196" s="61">
        <f t="shared" ref="N196:O200" si="51">N197</f>
        <v>565409559.13</v>
      </c>
      <c r="O196" s="61">
        <f t="shared" si="51"/>
        <v>577789121.47000003</v>
      </c>
      <c r="P196" s="62">
        <f t="shared" si="38"/>
        <v>0.74261860793590029</v>
      </c>
    </row>
    <row r="197" spans="1:16" ht="39" customHeight="1" x14ac:dyDescent="0.25">
      <c r="A197" s="37" t="s">
        <v>224</v>
      </c>
      <c r="B197" s="32" t="s">
        <v>149</v>
      </c>
      <c r="C197" s="32" t="s">
        <v>13</v>
      </c>
      <c r="D197" s="32" t="s">
        <v>225</v>
      </c>
      <c r="E197" s="32" t="s">
        <v>0</v>
      </c>
      <c r="F197" s="32" t="s">
        <v>0</v>
      </c>
      <c r="G197" s="32" t="s">
        <v>0</v>
      </c>
      <c r="H197" s="38" t="s">
        <v>0</v>
      </c>
      <c r="I197" s="38" t="s">
        <v>0</v>
      </c>
      <c r="J197" s="38" t="s">
        <v>0</v>
      </c>
      <c r="K197" s="38" t="s">
        <v>0</v>
      </c>
      <c r="L197" s="38" t="s">
        <v>0</v>
      </c>
      <c r="M197" s="61">
        <f>M198</f>
        <v>778042881.36000001</v>
      </c>
      <c r="N197" s="61">
        <f t="shared" si="51"/>
        <v>565409559.13</v>
      </c>
      <c r="O197" s="61">
        <f t="shared" si="51"/>
        <v>577789121.47000003</v>
      </c>
      <c r="P197" s="62">
        <f t="shared" si="38"/>
        <v>0.74261860793590029</v>
      </c>
    </row>
    <row r="198" spans="1:16" ht="33.6" customHeight="1" x14ac:dyDescent="0.25">
      <c r="A198" s="37" t="s">
        <v>31</v>
      </c>
      <c r="B198" s="32" t="s">
        <v>149</v>
      </c>
      <c r="C198" s="32" t="s">
        <v>13</v>
      </c>
      <c r="D198" s="32" t="s">
        <v>225</v>
      </c>
      <c r="E198" s="32" t="s">
        <v>32</v>
      </c>
      <c r="F198" s="32" t="s">
        <v>0</v>
      </c>
      <c r="G198" s="32" t="s">
        <v>0</v>
      </c>
      <c r="H198" s="38" t="s">
        <v>0</v>
      </c>
      <c r="I198" s="38" t="s">
        <v>0</v>
      </c>
      <c r="J198" s="38" t="s">
        <v>0</v>
      </c>
      <c r="K198" s="38" t="s">
        <v>0</v>
      </c>
      <c r="L198" s="38" t="s">
        <v>0</v>
      </c>
      <c r="M198" s="61">
        <f>M199</f>
        <v>778042881.36000001</v>
      </c>
      <c r="N198" s="61">
        <f t="shared" si="51"/>
        <v>565409559.13</v>
      </c>
      <c r="O198" s="61">
        <f t="shared" si="51"/>
        <v>577789121.47000003</v>
      </c>
      <c r="P198" s="62">
        <f t="shared" si="38"/>
        <v>0.74261860793590029</v>
      </c>
    </row>
    <row r="199" spans="1:16" ht="102" customHeight="1" x14ac:dyDescent="0.25">
      <c r="A199" s="37" t="s">
        <v>33</v>
      </c>
      <c r="B199" s="32" t="s">
        <v>149</v>
      </c>
      <c r="C199" s="32" t="s">
        <v>13</v>
      </c>
      <c r="D199" s="32" t="s">
        <v>225</v>
      </c>
      <c r="E199" s="32" t="s">
        <v>32</v>
      </c>
      <c r="F199" s="32" t="s">
        <v>0</v>
      </c>
      <c r="G199" s="32" t="s">
        <v>0</v>
      </c>
      <c r="H199" s="38" t="s">
        <v>0</v>
      </c>
      <c r="I199" s="38" t="s">
        <v>0</v>
      </c>
      <c r="J199" s="38" t="s">
        <v>0</v>
      </c>
      <c r="K199" s="38" t="s">
        <v>0</v>
      </c>
      <c r="L199" s="38" t="s">
        <v>0</v>
      </c>
      <c r="M199" s="61">
        <f>M200</f>
        <v>778042881.36000001</v>
      </c>
      <c r="N199" s="61">
        <f t="shared" si="51"/>
        <v>565409559.13</v>
      </c>
      <c r="O199" s="61">
        <f t="shared" si="51"/>
        <v>577789121.47000003</v>
      </c>
      <c r="P199" s="62">
        <f t="shared" ref="P199:P225" si="52">O199/M199</f>
        <v>0.74261860793590029</v>
      </c>
    </row>
    <row r="200" spans="1:16" ht="25.5" customHeight="1" x14ac:dyDescent="0.25">
      <c r="A200" s="36" t="s">
        <v>209</v>
      </c>
      <c r="B200" s="32" t="s">
        <v>149</v>
      </c>
      <c r="C200" s="32" t="s">
        <v>13</v>
      </c>
      <c r="D200" s="32" t="s">
        <v>225</v>
      </c>
      <c r="E200" s="32" t="s">
        <v>32</v>
      </c>
      <c r="F200" s="32" t="s">
        <v>23</v>
      </c>
      <c r="G200" s="32" t="s">
        <v>0</v>
      </c>
      <c r="H200" s="32" t="s">
        <v>0</v>
      </c>
      <c r="I200" s="32" t="s">
        <v>0</v>
      </c>
      <c r="J200" s="32" t="s">
        <v>0</v>
      </c>
      <c r="K200" s="32" t="s">
        <v>0</v>
      </c>
      <c r="L200" s="32" t="s">
        <v>0</v>
      </c>
      <c r="M200" s="61">
        <f>M201</f>
        <v>778042881.36000001</v>
      </c>
      <c r="N200" s="61">
        <f t="shared" si="51"/>
        <v>565409559.13</v>
      </c>
      <c r="O200" s="61">
        <f t="shared" si="51"/>
        <v>577789121.47000003</v>
      </c>
      <c r="P200" s="62">
        <f t="shared" si="52"/>
        <v>0.74261860793590029</v>
      </c>
    </row>
    <row r="201" spans="1:16" ht="25.5" customHeight="1" x14ac:dyDescent="0.25">
      <c r="A201" s="36" t="s">
        <v>220</v>
      </c>
      <c r="B201" s="32" t="s">
        <v>149</v>
      </c>
      <c r="C201" s="32" t="s">
        <v>13</v>
      </c>
      <c r="D201" s="32" t="s">
        <v>225</v>
      </c>
      <c r="E201" s="32" t="s">
        <v>32</v>
      </c>
      <c r="F201" s="32" t="s">
        <v>23</v>
      </c>
      <c r="G201" s="32" t="s">
        <v>28</v>
      </c>
      <c r="H201" s="32" t="s">
        <v>0</v>
      </c>
      <c r="I201" s="32" t="s">
        <v>0</v>
      </c>
      <c r="J201" s="32" t="s">
        <v>0</v>
      </c>
      <c r="K201" s="32" t="s">
        <v>0</v>
      </c>
      <c r="L201" s="32" t="s">
        <v>0</v>
      </c>
      <c r="M201" s="61">
        <f>M202+M205</f>
        <v>778042881.36000001</v>
      </c>
      <c r="N201" s="61">
        <f t="shared" ref="N201:O201" si="53">N202+N205</f>
        <v>565409559.13</v>
      </c>
      <c r="O201" s="61">
        <f t="shared" si="53"/>
        <v>577789121.47000003</v>
      </c>
      <c r="P201" s="62">
        <f t="shared" si="52"/>
        <v>0.74261860793590029</v>
      </c>
    </row>
    <row r="202" spans="1:16" ht="87.75" customHeight="1" x14ac:dyDescent="0.25">
      <c r="A202" s="37" t="s">
        <v>226</v>
      </c>
      <c r="B202" s="32" t="s">
        <v>149</v>
      </c>
      <c r="C202" s="32" t="s">
        <v>13</v>
      </c>
      <c r="D202" s="32" t="s">
        <v>225</v>
      </c>
      <c r="E202" s="32" t="s">
        <v>32</v>
      </c>
      <c r="F202" s="32" t="s">
        <v>23</v>
      </c>
      <c r="G202" s="32" t="s">
        <v>28</v>
      </c>
      <c r="H202" s="32" t="s">
        <v>227</v>
      </c>
      <c r="I202" s="38" t="s">
        <v>0</v>
      </c>
      <c r="J202" s="38" t="s">
        <v>0</v>
      </c>
      <c r="K202" s="38" t="s">
        <v>0</v>
      </c>
      <c r="L202" s="38" t="s">
        <v>0</v>
      </c>
      <c r="M202" s="61">
        <f>M203</f>
        <v>661890000</v>
      </c>
      <c r="N202" s="61">
        <f t="shared" ref="N202:O203" si="54">N203</f>
        <v>452427179.07999998</v>
      </c>
      <c r="O202" s="61">
        <f t="shared" si="54"/>
        <v>464806741.42000002</v>
      </c>
      <c r="P202" s="62">
        <f t="shared" si="52"/>
        <v>0.70224167372221968</v>
      </c>
    </row>
    <row r="203" spans="1:16" ht="70.5" customHeight="1" x14ac:dyDescent="0.25">
      <c r="A203" s="37" t="s">
        <v>39</v>
      </c>
      <c r="B203" s="32" t="s">
        <v>149</v>
      </c>
      <c r="C203" s="32" t="s">
        <v>13</v>
      </c>
      <c r="D203" s="32" t="s">
        <v>225</v>
      </c>
      <c r="E203" s="32" t="s">
        <v>32</v>
      </c>
      <c r="F203" s="32" t="s">
        <v>23</v>
      </c>
      <c r="G203" s="32" t="s">
        <v>28</v>
      </c>
      <c r="H203" s="32" t="s">
        <v>227</v>
      </c>
      <c r="I203" s="32" t="s">
        <v>40</v>
      </c>
      <c r="J203" s="32" t="s">
        <v>0</v>
      </c>
      <c r="K203" s="32" t="s">
        <v>0</v>
      </c>
      <c r="L203" s="32" t="s">
        <v>0</v>
      </c>
      <c r="M203" s="61">
        <f>M204</f>
        <v>661890000</v>
      </c>
      <c r="N203" s="61">
        <f t="shared" si="54"/>
        <v>452427179.07999998</v>
      </c>
      <c r="O203" s="61">
        <f t="shared" si="54"/>
        <v>464806741.42000002</v>
      </c>
      <c r="P203" s="62">
        <f t="shared" si="52"/>
        <v>0.70224167372221968</v>
      </c>
    </row>
    <row r="204" spans="1:16" ht="39.75" customHeight="1" x14ac:dyDescent="0.25">
      <c r="A204" s="4" t="s">
        <v>228</v>
      </c>
      <c r="B204" s="5" t="s">
        <v>149</v>
      </c>
      <c r="C204" s="5" t="s">
        <v>13</v>
      </c>
      <c r="D204" s="5" t="s">
        <v>225</v>
      </c>
      <c r="E204" s="5" t="s">
        <v>32</v>
      </c>
      <c r="F204" s="5" t="s">
        <v>23</v>
      </c>
      <c r="G204" s="5" t="s">
        <v>28</v>
      </c>
      <c r="H204" s="5" t="s">
        <v>227</v>
      </c>
      <c r="I204" s="5" t="s">
        <v>40</v>
      </c>
      <c r="J204" s="6" t="s">
        <v>73</v>
      </c>
      <c r="K204" s="6" t="s">
        <v>229</v>
      </c>
      <c r="L204" s="6" t="s">
        <v>230</v>
      </c>
      <c r="M204" s="63">
        <v>661890000</v>
      </c>
      <c r="N204" s="63">
        <v>452427179.07999998</v>
      </c>
      <c r="O204" s="63">
        <v>464806741.42000002</v>
      </c>
      <c r="P204" s="64">
        <f t="shared" si="52"/>
        <v>0.70224167372221968</v>
      </c>
    </row>
    <row r="205" spans="1:16" ht="72.75" customHeight="1" x14ac:dyDescent="0.25">
      <c r="A205" s="37" t="s">
        <v>231</v>
      </c>
      <c r="B205" s="32" t="s">
        <v>149</v>
      </c>
      <c r="C205" s="32" t="s">
        <v>13</v>
      </c>
      <c r="D205" s="32" t="s">
        <v>225</v>
      </c>
      <c r="E205" s="32" t="s">
        <v>32</v>
      </c>
      <c r="F205" s="32" t="s">
        <v>23</v>
      </c>
      <c r="G205" s="32" t="s">
        <v>28</v>
      </c>
      <c r="H205" s="32" t="s">
        <v>232</v>
      </c>
      <c r="I205" s="38" t="s">
        <v>0</v>
      </c>
      <c r="J205" s="38" t="s">
        <v>0</v>
      </c>
      <c r="K205" s="38" t="s">
        <v>0</v>
      </c>
      <c r="L205" s="38" t="s">
        <v>0</v>
      </c>
      <c r="M205" s="61">
        <f>M206</f>
        <v>116152881.36</v>
      </c>
      <c r="N205" s="61">
        <f t="shared" ref="N205:O206" si="55">N206</f>
        <v>112982380.05</v>
      </c>
      <c r="O205" s="61">
        <f t="shared" si="55"/>
        <v>112982380.05</v>
      </c>
      <c r="P205" s="62">
        <f t="shared" si="52"/>
        <v>0.97270406663289333</v>
      </c>
    </row>
    <row r="206" spans="1:16" ht="71.25" customHeight="1" x14ac:dyDescent="0.25">
      <c r="A206" s="37" t="s">
        <v>39</v>
      </c>
      <c r="B206" s="32" t="s">
        <v>149</v>
      </c>
      <c r="C206" s="32" t="s">
        <v>13</v>
      </c>
      <c r="D206" s="32" t="s">
        <v>225</v>
      </c>
      <c r="E206" s="32" t="s">
        <v>32</v>
      </c>
      <c r="F206" s="32" t="s">
        <v>23</v>
      </c>
      <c r="G206" s="32" t="s">
        <v>28</v>
      </c>
      <c r="H206" s="32" t="s">
        <v>232</v>
      </c>
      <c r="I206" s="32" t="s">
        <v>40</v>
      </c>
      <c r="J206" s="32" t="s">
        <v>0</v>
      </c>
      <c r="K206" s="32" t="s">
        <v>0</v>
      </c>
      <c r="L206" s="32" t="s">
        <v>0</v>
      </c>
      <c r="M206" s="61">
        <f>M207</f>
        <v>116152881.36</v>
      </c>
      <c r="N206" s="61">
        <f t="shared" si="55"/>
        <v>112982380.05</v>
      </c>
      <c r="O206" s="61">
        <f t="shared" si="55"/>
        <v>112982380.05</v>
      </c>
      <c r="P206" s="62">
        <f t="shared" si="52"/>
        <v>0.97270406663289333</v>
      </c>
    </row>
    <row r="207" spans="1:16" ht="57.75" customHeight="1" x14ac:dyDescent="0.25">
      <c r="A207" s="4" t="s">
        <v>233</v>
      </c>
      <c r="B207" s="5" t="s">
        <v>149</v>
      </c>
      <c r="C207" s="5" t="s">
        <v>13</v>
      </c>
      <c r="D207" s="5" t="s">
        <v>225</v>
      </c>
      <c r="E207" s="5" t="s">
        <v>32</v>
      </c>
      <c r="F207" s="5" t="s">
        <v>23</v>
      </c>
      <c r="G207" s="5" t="s">
        <v>28</v>
      </c>
      <c r="H207" s="5" t="s">
        <v>232</v>
      </c>
      <c r="I207" s="5" t="s">
        <v>40</v>
      </c>
      <c r="J207" s="6" t="s">
        <v>73</v>
      </c>
      <c r="K207" s="6" t="s">
        <v>234</v>
      </c>
      <c r="L207" s="6" t="s">
        <v>53</v>
      </c>
      <c r="M207" s="63">
        <f>110152881.36+11000000-5000000</f>
        <v>116152881.36</v>
      </c>
      <c r="N207" s="63">
        <v>112982380.05</v>
      </c>
      <c r="O207" s="63">
        <v>112982380.05</v>
      </c>
      <c r="P207" s="64">
        <f t="shared" si="52"/>
        <v>0.97270406663289333</v>
      </c>
    </row>
    <row r="208" spans="1:16" ht="34.5" customHeight="1" x14ac:dyDescent="0.25">
      <c r="A208" s="37" t="s">
        <v>235</v>
      </c>
      <c r="B208" s="32" t="s">
        <v>236</v>
      </c>
      <c r="C208" s="32" t="s">
        <v>0</v>
      </c>
      <c r="D208" s="32" t="s">
        <v>0</v>
      </c>
      <c r="E208" s="32" t="s">
        <v>0</v>
      </c>
      <c r="F208" s="32" t="s">
        <v>0</v>
      </c>
      <c r="G208" s="32" t="s">
        <v>0</v>
      </c>
      <c r="H208" s="38" t="s">
        <v>0</v>
      </c>
      <c r="I208" s="38" t="s">
        <v>0</v>
      </c>
      <c r="J208" s="38" t="s">
        <v>0</v>
      </c>
      <c r="K208" s="38" t="s">
        <v>0</v>
      </c>
      <c r="L208" s="38" t="s">
        <v>0</v>
      </c>
      <c r="M208" s="61">
        <f t="shared" ref="M208:O214" si="56">M209</f>
        <v>279140.99</v>
      </c>
      <c r="N208" s="61">
        <f t="shared" si="56"/>
        <v>279140.99</v>
      </c>
      <c r="O208" s="61">
        <f t="shared" si="56"/>
        <v>279140.99</v>
      </c>
      <c r="P208" s="62">
        <f t="shared" si="52"/>
        <v>1</v>
      </c>
    </row>
    <row r="209" spans="1:16" ht="39.75" customHeight="1" x14ac:dyDescent="0.25">
      <c r="A209" s="37" t="s">
        <v>31</v>
      </c>
      <c r="B209" s="32" t="s">
        <v>236</v>
      </c>
      <c r="C209" s="32" t="s">
        <v>30</v>
      </c>
      <c r="D209" s="32" t="s">
        <v>24</v>
      </c>
      <c r="E209" s="32" t="s">
        <v>32</v>
      </c>
      <c r="F209" s="32" t="s">
        <v>0</v>
      </c>
      <c r="G209" s="32" t="s">
        <v>0</v>
      </c>
      <c r="H209" s="38" t="s">
        <v>0</v>
      </c>
      <c r="I209" s="38" t="s">
        <v>0</v>
      </c>
      <c r="J209" s="38" t="s">
        <v>0</v>
      </c>
      <c r="K209" s="38" t="s">
        <v>0</v>
      </c>
      <c r="L209" s="38" t="s">
        <v>0</v>
      </c>
      <c r="M209" s="61">
        <f t="shared" si="56"/>
        <v>279140.99</v>
      </c>
      <c r="N209" s="61">
        <f t="shared" si="56"/>
        <v>279140.99</v>
      </c>
      <c r="O209" s="61">
        <f t="shared" si="56"/>
        <v>279140.99</v>
      </c>
      <c r="P209" s="62">
        <f t="shared" si="52"/>
        <v>1</v>
      </c>
    </row>
    <row r="210" spans="1:16" ht="92.25" customHeight="1" x14ac:dyDescent="0.25">
      <c r="A210" s="37" t="s">
        <v>33</v>
      </c>
      <c r="B210" s="32" t="s">
        <v>236</v>
      </c>
      <c r="C210" s="32" t="s">
        <v>30</v>
      </c>
      <c r="D210" s="32" t="s">
        <v>24</v>
      </c>
      <c r="E210" s="32" t="s">
        <v>32</v>
      </c>
      <c r="F210" s="32" t="s">
        <v>0</v>
      </c>
      <c r="G210" s="32" t="s">
        <v>0</v>
      </c>
      <c r="H210" s="38" t="s">
        <v>0</v>
      </c>
      <c r="I210" s="38" t="s">
        <v>0</v>
      </c>
      <c r="J210" s="38" t="s">
        <v>0</v>
      </c>
      <c r="K210" s="38" t="s">
        <v>0</v>
      </c>
      <c r="L210" s="38" t="s">
        <v>0</v>
      </c>
      <c r="M210" s="61">
        <f t="shared" si="56"/>
        <v>279140.99</v>
      </c>
      <c r="N210" s="61">
        <f t="shared" si="56"/>
        <v>279140.99</v>
      </c>
      <c r="O210" s="61">
        <f t="shared" si="56"/>
        <v>279140.99</v>
      </c>
      <c r="P210" s="62">
        <f t="shared" si="52"/>
        <v>1</v>
      </c>
    </row>
    <row r="211" spans="1:16" ht="28.5" customHeight="1" x14ac:dyDescent="0.25">
      <c r="A211" s="36" t="s">
        <v>237</v>
      </c>
      <c r="B211" s="32" t="s">
        <v>236</v>
      </c>
      <c r="C211" s="32" t="s">
        <v>30</v>
      </c>
      <c r="D211" s="32" t="s">
        <v>24</v>
      </c>
      <c r="E211" s="32" t="s">
        <v>32</v>
      </c>
      <c r="F211" s="32" t="s">
        <v>71</v>
      </c>
      <c r="G211" s="32" t="s">
        <v>0</v>
      </c>
      <c r="H211" s="32" t="s">
        <v>0</v>
      </c>
      <c r="I211" s="32" t="s">
        <v>0</v>
      </c>
      <c r="J211" s="32" t="s">
        <v>0</v>
      </c>
      <c r="K211" s="32" t="s">
        <v>0</v>
      </c>
      <c r="L211" s="32" t="s">
        <v>0</v>
      </c>
      <c r="M211" s="61">
        <f t="shared" si="56"/>
        <v>279140.99</v>
      </c>
      <c r="N211" s="61">
        <f t="shared" si="56"/>
        <v>279140.99</v>
      </c>
      <c r="O211" s="61">
        <f t="shared" si="56"/>
        <v>279140.99</v>
      </c>
      <c r="P211" s="62">
        <f t="shared" si="52"/>
        <v>1</v>
      </c>
    </row>
    <row r="212" spans="1:16" ht="34.5" customHeight="1" x14ac:dyDescent="0.25">
      <c r="A212" s="36" t="s">
        <v>238</v>
      </c>
      <c r="B212" s="32" t="s">
        <v>236</v>
      </c>
      <c r="C212" s="32" t="s">
        <v>30</v>
      </c>
      <c r="D212" s="32" t="s">
        <v>24</v>
      </c>
      <c r="E212" s="32" t="s">
        <v>32</v>
      </c>
      <c r="F212" s="32" t="s">
        <v>71</v>
      </c>
      <c r="G212" s="32" t="s">
        <v>48</v>
      </c>
      <c r="H212" s="32" t="s">
        <v>0</v>
      </c>
      <c r="I212" s="32" t="s">
        <v>0</v>
      </c>
      <c r="J212" s="32" t="s">
        <v>0</v>
      </c>
      <c r="K212" s="32" t="s">
        <v>0</v>
      </c>
      <c r="L212" s="32" t="s">
        <v>0</v>
      </c>
      <c r="M212" s="61">
        <f t="shared" si="56"/>
        <v>279140.99</v>
      </c>
      <c r="N212" s="61">
        <f t="shared" si="56"/>
        <v>279140.99</v>
      </c>
      <c r="O212" s="61">
        <f t="shared" si="56"/>
        <v>279140.99</v>
      </c>
      <c r="P212" s="62">
        <f t="shared" si="52"/>
        <v>1</v>
      </c>
    </row>
    <row r="213" spans="1:16" ht="63.75" customHeight="1" x14ac:dyDescent="0.25">
      <c r="A213" s="37" t="s">
        <v>37</v>
      </c>
      <c r="B213" s="32" t="s">
        <v>236</v>
      </c>
      <c r="C213" s="32" t="s">
        <v>30</v>
      </c>
      <c r="D213" s="32" t="s">
        <v>24</v>
      </c>
      <c r="E213" s="32" t="s">
        <v>32</v>
      </c>
      <c r="F213" s="32" t="s">
        <v>71</v>
      </c>
      <c r="G213" s="32" t="s">
        <v>48</v>
      </c>
      <c r="H213" s="32" t="s">
        <v>38</v>
      </c>
      <c r="I213" s="38" t="s">
        <v>0</v>
      </c>
      <c r="J213" s="38" t="s">
        <v>0</v>
      </c>
      <c r="K213" s="38" t="s">
        <v>0</v>
      </c>
      <c r="L213" s="38" t="s">
        <v>0</v>
      </c>
      <c r="M213" s="61">
        <f t="shared" si="56"/>
        <v>279140.99</v>
      </c>
      <c r="N213" s="61">
        <f t="shared" si="56"/>
        <v>279140.99</v>
      </c>
      <c r="O213" s="61">
        <f t="shared" si="56"/>
        <v>279140.99</v>
      </c>
      <c r="P213" s="62">
        <f t="shared" si="52"/>
        <v>1</v>
      </c>
    </row>
    <row r="214" spans="1:16" ht="72.75" customHeight="1" x14ac:dyDescent="0.25">
      <c r="A214" s="37" t="s">
        <v>39</v>
      </c>
      <c r="B214" s="32" t="s">
        <v>236</v>
      </c>
      <c r="C214" s="32" t="s">
        <v>30</v>
      </c>
      <c r="D214" s="32" t="s">
        <v>24</v>
      </c>
      <c r="E214" s="32" t="s">
        <v>32</v>
      </c>
      <c r="F214" s="32" t="s">
        <v>71</v>
      </c>
      <c r="G214" s="32" t="s">
        <v>48</v>
      </c>
      <c r="H214" s="32" t="s">
        <v>38</v>
      </c>
      <c r="I214" s="32" t="s">
        <v>40</v>
      </c>
      <c r="J214" s="32" t="s">
        <v>0</v>
      </c>
      <c r="K214" s="32" t="s">
        <v>0</v>
      </c>
      <c r="L214" s="32" t="s">
        <v>0</v>
      </c>
      <c r="M214" s="61">
        <f t="shared" si="56"/>
        <v>279140.99</v>
      </c>
      <c r="N214" s="61">
        <f t="shared" si="56"/>
        <v>279140.99</v>
      </c>
      <c r="O214" s="61">
        <f t="shared" si="56"/>
        <v>279140.99</v>
      </c>
      <c r="P214" s="62">
        <f t="shared" si="52"/>
        <v>1</v>
      </c>
    </row>
    <row r="215" spans="1:16" ht="56.25" customHeight="1" x14ac:dyDescent="0.25">
      <c r="A215" s="4" t="s">
        <v>566</v>
      </c>
      <c r="B215" s="5" t="s">
        <v>236</v>
      </c>
      <c r="C215" s="5" t="s">
        <v>30</v>
      </c>
      <c r="D215" s="5" t="s">
        <v>24</v>
      </c>
      <c r="E215" s="5" t="s">
        <v>32</v>
      </c>
      <c r="F215" s="5" t="s">
        <v>71</v>
      </c>
      <c r="G215" s="5" t="s">
        <v>48</v>
      </c>
      <c r="H215" s="5" t="s">
        <v>38</v>
      </c>
      <c r="I215" s="5" t="s">
        <v>40</v>
      </c>
      <c r="J215" s="6" t="s">
        <v>0</v>
      </c>
      <c r="K215" s="6" t="s">
        <v>0</v>
      </c>
      <c r="L215" s="6" t="s">
        <v>53</v>
      </c>
      <c r="M215" s="63">
        <v>279140.99</v>
      </c>
      <c r="N215" s="63">
        <v>279140.99</v>
      </c>
      <c r="O215" s="63">
        <v>279140.99</v>
      </c>
      <c r="P215" s="64">
        <f t="shared" si="52"/>
        <v>1</v>
      </c>
    </row>
    <row r="216" spans="1:16" ht="48.9" customHeight="1" x14ac:dyDescent="0.25">
      <c r="A216" s="37" t="s">
        <v>239</v>
      </c>
      <c r="B216" s="32" t="s">
        <v>240</v>
      </c>
      <c r="C216" s="32" t="s">
        <v>0</v>
      </c>
      <c r="D216" s="32" t="s">
        <v>0</v>
      </c>
      <c r="E216" s="32" t="s">
        <v>0</v>
      </c>
      <c r="F216" s="32" t="s">
        <v>0</v>
      </c>
      <c r="G216" s="32" t="s">
        <v>0</v>
      </c>
      <c r="H216" s="38" t="s">
        <v>0</v>
      </c>
      <c r="I216" s="38" t="s">
        <v>0</v>
      </c>
      <c r="J216" s="38" t="s">
        <v>0</v>
      </c>
      <c r="K216" s="38" t="s">
        <v>0</v>
      </c>
      <c r="L216" s="38" t="s">
        <v>0</v>
      </c>
      <c r="M216" s="61">
        <f t="shared" ref="M216:O224" si="57">M217</f>
        <v>21845000</v>
      </c>
      <c r="N216" s="61">
        <f t="shared" si="57"/>
        <v>8995000</v>
      </c>
      <c r="O216" s="61">
        <f t="shared" si="57"/>
        <v>8995000</v>
      </c>
      <c r="P216" s="62">
        <f t="shared" si="52"/>
        <v>0.41176470588235292</v>
      </c>
    </row>
    <row r="217" spans="1:16" ht="56.25" customHeight="1" x14ac:dyDescent="0.25">
      <c r="A217" s="37" t="s">
        <v>241</v>
      </c>
      <c r="B217" s="32" t="s">
        <v>240</v>
      </c>
      <c r="C217" s="32" t="s">
        <v>14</v>
      </c>
      <c r="D217" s="32" t="s">
        <v>0</v>
      </c>
      <c r="E217" s="32" t="s">
        <v>0</v>
      </c>
      <c r="F217" s="32" t="s">
        <v>0</v>
      </c>
      <c r="G217" s="32" t="s">
        <v>0</v>
      </c>
      <c r="H217" s="38" t="s">
        <v>0</v>
      </c>
      <c r="I217" s="38" t="s">
        <v>0</v>
      </c>
      <c r="J217" s="38" t="s">
        <v>0</v>
      </c>
      <c r="K217" s="38" t="s">
        <v>0</v>
      </c>
      <c r="L217" s="38" t="s">
        <v>0</v>
      </c>
      <c r="M217" s="61">
        <f t="shared" si="57"/>
        <v>21845000</v>
      </c>
      <c r="N217" s="61">
        <f t="shared" si="57"/>
        <v>8995000</v>
      </c>
      <c r="O217" s="61">
        <f t="shared" si="57"/>
        <v>8995000</v>
      </c>
      <c r="P217" s="62">
        <f t="shared" si="52"/>
        <v>0.41176470588235292</v>
      </c>
    </row>
    <row r="218" spans="1:16" ht="87.75" customHeight="1" x14ac:dyDescent="0.25">
      <c r="A218" s="37" t="s">
        <v>242</v>
      </c>
      <c r="B218" s="32" t="s">
        <v>240</v>
      </c>
      <c r="C218" s="32" t="s">
        <v>14</v>
      </c>
      <c r="D218" s="32" t="s">
        <v>243</v>
      </c>
      <c r="E218" s="32" t="s">
        <v>0</v>
      </c>
      <c r="F218" s="32" t="s">
        <v>0</v>
      </c>
      <c r="G218" s="32" t="s">
        <v>0</v>
      </c>
      <c r="H218" s="38" t="s">
        <v>0</v>
      </c>
      <c r="I218" s="38" t="s">
        <v>0</v>
      </c>
      <c r="J218" s="38" t="s">
        <v>0</v>
      </c>
      <c r="K218" s="38" t="s">
        <v>0</v>
      </c>
      <c r="L218" s="38" t="s">
        <v>0</v>
      </c>
      <c r="M218" s="61">
        <f t="shared" si="57"/>
        <v>21845000</v>
      </c>
      <c r="N218" s="61">
        <f t="shared" si="57"/>
        <v>8995000</v>
      </c>
      <c r="O218" s="61">
        <f t="shared" si="57"/>
        <v>8995000</v>
      </c>
      <c r="P218" s="62">
        <f t="shared" si="52"/>
        <v>0.41176470588235292</v>
      </c>
    </row>
    <row r="219" spans="1:16" ht="48.9" customHeight="1" x14ac:dyDescent="0.25">
      <c r="A219" s="37" t="s">
        <v>244</v>
      </c>
      <c r="B219" s="32" t="s">
        <v>240</v>
      </c>
      <c r="C219" s="32" t="s">
        <v>14</v>
      </c>
      <c r="D219" s="32" t="s">
        <v>243</v>
      </c>
      <c r="E219" s="32" t="s">
        <v>245</v>
      </c>
      <c r="F219" s="32" t="s">
        <v>0</v>
      </c>
      <c r="G219" s="32" t="s">
        <v>0</v>
      </c>
      <c r="H219" s="38" t="s">
        <v>0</v>
      </c>
      <c r="I219" s="38" t="s">
        <v>0</v>
      </c>
      <c r="J219" s="38" t="s">
        <v>0</v>
      </c>
      <c r="K219" s="38" t="s">
        <v>0</v>
      </c>
      <c r="L219" s="38" t="s">
        <v>0</v>
      </c>
      <c r="M219" s="61">
        <f t="shared" si="57"/>
        <v>21845000</v>
      </c>
      <c r="N219" s="61">
        <f t="shared" si="57"/>
        <v>8995000</v>
      </c>
      <c r="O219" s="61">
        <f t="shared" si="57"/>
        <v>8995000</v>
      </c>
      <c r="P219" s="62">
        <f t="shared" si="52"/>
        <v>0.41176470588235292</v>
      </c>
    </row>
    <row r="220" spans="1:16" ht="64.5" customHeight="1" x14ac:dyDescent="0.25">
      <c r="A220" s="37" t="s">
        <v>246</v>
      </c>
      <c r="B220" s="32" t="s">
        <v>240</v>
      </c>
      <c r="C220" s="32" t="s">
        <v>14</v>
      </c>
      <c r="D220" s="32" t="s">
        <v>243</v>
      </c>
      <c r="E220" s="32" t="s">
        <v>245</v>
      </c>
      <c r="F220" s="32" t="s">
        <v>0</v>
      </c>
      <c r="G220" s="32" t="s">
        <v>0</v>
      </c>
      <c r="H220" s="38" t="s">
        <v>0</v>
      </c>
      <c r="I220" s="38" t="s">
        <v>0</v>
      </c>
      <c r="J220" s="38" t="s">
        <v>0</v>
      </c>
      <c r="K220" s="38" t="s">
        <v>0</v>
      </c>
      <c r="L220" s="38" t="s">
        <v>0</v>
      </c>
      <c r="M220" s="61">
        <f t="shared" si="57"/>
        <v>21845000</v>
      </c>
      <c r="N220" s="61">
        <f t="shared" si="57"/>
        <v>8995000</v>
      </c>
      <c r="O220" s="61">
        <f t="shared" si="57"/>
        <v>8995000</v>
      </c>
      <c r="P220" s="62">
        <f t="shared" si="52"/>
        <v>0.41176470588235292</v>
      </c>
    </row>
    <row r="221" spans="1:16" ht="23.25" customHeight="1" x14ac:dyDescent="0.25">
      <c r="A221" s="36" t="s">
        <v>156</v>
      </c>
      <c r="B221" s="32" t="s">
        <v>240</v>
      </c>
      <c r="C221" s="32" t="s">
        <v>14</v>
      </c>
      <c r="D221" s="32" t="s">
        <v>243</v>
      </c>
      <c r="E221" s="32" t="s">
        <v>245</v>
      </c>
      <c r="F221" s="32" t="s">
        <v>106</v>
      </c>
      <c r="G221" s="32" t="s">
        <v>0</v>
      </c>
      <c r="H221" s="32" t="s">
        <v>0</v>
      </c>
      <c r="I221" s="32" t="s">
        <v>0</v>
      </c>
      <c r="J221" s="32" t="s">
        <v>0</v>
      </c>
      <c r="K221" s="32" t="s">
        <v>0</v>
      </c>
      <c r="L221" s="32" t="s">
        <v>0</v>
      </c>
      <c r="M221" s="61">
        <f t="shared" si="57"/>
        <v>21845000</v>
      </c>
      <c r="N221" s="61">
        <f t="shared" si="57"/>
        <v>8995000</v>
      </c>
      <c r="O221" s="61">
        <f t="shared" si="57"/>
        <v>8995000</v>
      </c>
      <c r="P221" s="62">
        <f t="shared" si="52"/>
        <v>0.41176470588235292</v>
      </c>
    </row>
    <row r="222" spans="1:16" ht="21" customHeight="1" x14ac:dyDescent="0.25">
      <c r="A222" s="36" t="s">
        <v>247</v>
      </c>
      <c r="B222" s="32" t="s">
        <v>240</v>
      </c>
      <c r="C222" s="32" t="s">
        <v>14</v>
      </c>
      <c r="D222" s="32" t="s">
        <v>243</v>
      </c>
      <c r="E222" s="32" t="s">
        <v>245</v>
      </c>
      <c r="F222" s="32" t="s">
        <v>106</v>
      </c>
      <c r="G222" s="32" t="s">
        <v>114</v>
      </c>
      <c r="H222" s="32" t="s">
        <v>0</v>
      </c>
      <c r="I222" s="32" t="s">
        <v>0</v>
      </c>
      <c r="J222" s="32" t="s">
        <v>0</v>
      </c>
      <c r="K222" s="32" t="s">
        <v>0</v>
      </c>
      <c r="L222" s="32" t="s">
        <v>0</v>
      </c>
      <c r="M222" s="61">
        <f t="shared" si="57"/>
        <v>21845000</v>
      </c>
      <c r="N222" s="61">
        <f t="shared" si="57"/>
        <v>8995000</v>
      </c>
      <c r="O222" s="61">
        <f t="shared" si="57"/>
        <v>8995000</v>
      </c>
      <c r="P222" s="62">
        <f t="shared" si="52"/>
        <v>0.41176470588235292</v>
      </c>
    </row>
    <row r="223" spans="1:16" ht="57" customHeight="1" x14ac:dyDescent="0.25">
      <c r="A223" s="37" t="s">
        <v>37</v>
      </c>
      <c r="B223" s="32" t="s">
        <v>240</v>
      </c>
      <c r="C223" s="32" t="s">
        <v>14</v>
      </c>
      <c r="D223" s="32" t="s">
        <v>243</v>
      </c>
      <c r="E223" s="32" t="s">
        <v>245</v>
      </c>
      <c r="F223" s="32" t="s">
        <v>106</v>
      </c>
      <c r="G223" s="32" t="s">
        <v>114</v>
      </c>
      <c r="H223" s="32" t="s">
        <v>38</v>
      </c>
      <c r="I223" s="38" t="s">
        <v>0</v>
      </c>
      <c r="J223" s="38" t="s">
        <v>0</v>
      </c>
      <c r="K223" s="38" t="s">
        <v>0</v>
      </c>
      <c r="L223" s="38" t="s">
        <v>0</v>
      </c>
      <c r="M223" s="61">
        <f t="shared" si="57"/>
        <v>21845000</v>
      </c>
      <c r="N223" s="61">
        <f t="shared" si="57"/>
        <v>8995000</v>
      </c>
      <c r="O223" s="61">
        <f t="shared" si="57"/>
        <v>8995000</v>
      </c>
      <c r="P223" s="62">
        <f t="shared" si="52"/>
        <v>0.41176470588235292</v>
      </c>
    </row>
    <row r="224" spans="1:16" ht="77.25" customHeight="1" x14ac:dyDescent="0.25">
      <c r="A224" s="37" t="s">
        <v>39</v>
      </c>
      <c r="B224" s="32" t="s">
        <v>240</v>
      </c>
      <c r="C224" s="32" t="s">
        <v>14</v>
      </c>
      <c r="D224" s="32" t="s">
        <v>243</v>
      </c>
      <c r="E224" s="32" t="s">
        <v>245</v>
      </c>
      <c r="F224" s="32" t="s">
        <v>106</v>
      </c>
      <c r="G224" s="32" t="s">
        <v>114</v>
      </c>
      <c r="H224" s="32" t="s">
        <v>38</v>
      </c>
      <c r="I224" s="32" t="s">
        <v>40</v>
      </c>
      <c r="J224" s="32" t="s">
        <v>0</v>
      </c>
      <c r="K224" s="32" t="s">
        <v>0</v>
      </c>
      <c r="L224" s="32" t="s">
        <v>0</v>
      </c>
      <c r="M224" s="61">
        <f t="shared" si="57"/>
        <v>21845000</v>
      </c>
      <c r="N224" s="61">
        <f t="shared" si="57"/>
        <v>8995000</v>
      </c>
      <c r="O224" s="61">
        <f t="shared" si="57"/>
        <v>8995000</v>
      </c>
      <c r="P224" s="62">
        <f t="shared" si="52"/>
        <v>0.41176470588235292</v>
      </c>
    </row>
    <row r="225" spans="1:16" ht="42" customHeight="1" x14ac:dyDescent="0.25">
      <c r="A225" s="4" t="s">
        <v>248</v>
      </c>
      <c r="B225" s="5" t="s">
        <v>240</v>
      </c>
      <c r="C225" s="5" t="s">
        <v>14</v>
      </c>
      <c r="D225" s="5" t="s">
        <v>243</v>
      </c>
      <c r="E225" s="5" t="s">
        <v>245</v>
      </c>
      <c r="F225" s="5" t="s">
        <v>106</v>
      </c>
      <c r="G225" s="5" t="s">
        <v>114</v>
      </c>
      <c r="H225" s="5" t="s">
        <v>38</v>
      </c>
      <c r="I225" s="5" t="s">
        <v>40</v>
      </c>
      <c r="J225" s="6" t="s">
        <v>0</v>
      </c>
      <c r="K225" s="6" t="s">
        <v>0</v>
      </c>
      <c r="L225" s="6" t="s">
        <v>53</v>
      </c>
      <c r="M225" s="63">
        <v>21845000</v>
      </c>
      <c r="N225" s="63">
        <v>8995000</v>
      </c>
      <c r="O225" s="63">
        <v>8995000</v>
      </c>
      <c r="P225" s="64">
        <f t="shared" si="52"/>
        <v>0.41176470588235292</v>
      </c>
    </row>
    <row r="226" spans="1:16" ht="36" customHeight="1" x14ac:dyDescent="0.25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</row>
    <row r="227" spans="1:16" ht="31.5" customHeight="1" x14ac:dyDescent="0.25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</row>
    <row r="228" spans="1:16" ht="36" customHeight="1" x14ac:dyDescent="0.25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</row>
    <row r="229" spans="1:16" ht="25.2" x14ac:dyDescent="0.25">
      <c r="A229" s="86" t="s">
        <v>588</v>
      </c>
      <c r="B229" s="86"/>
      <c r="C229" s="86"/>
      <c r="D229" s="86"/>
      <c r="E229" s="34"/>
      <c r="F229" s="34"/>
      <c r="G229" s="34"/>
      <c r="H229" s="34"/>
      <c r="I229" s="34"/>
      <c r="J229" s="34"/>
      <c r="K229" s="34"/>
      <c r="L229" s="34"/>
      <c r="M229" s="34"/>
      <c r="N229" s="87" t="s">
        <v>589</v>
      </c>
      <c r="O229" s="87"/>
      <c r="P229" s="87"/>
    </row>
    <row r="230" spans="1:16" ht="19.5" customHeight="1" x14ac:dyDescent="0.25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</row>
    <row r="231" spans="1:16" ht="66" customHeight="1" x14ac:dyDescent="0.25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</row>
    <row r="232" spans="1:16" ht="111.75" customHeight="1" x14ac:dyDescent="0.25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</row>
    <row r="233" spans="1:16" ht="98.25" customHeight="1" x14ac:dyDescent="0.25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</row>
    <row r="234" spans="1:16" ht="110.25" customHeight="1" x14ac:dyDescent="0.25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</row>
    <row r="235" spans="1:16" ht="36" x14ac:dyDescent="0.25">
      <c r="A235" s="33" t="s">
        <v>590</v>
      </c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</row>
  </sheetData>
  <mergeCells count="5">
    <mergeCell ref="A229:D229"/>
    <mergeCell ref="N229:P229"/>
    <mergeCell ref="O1:P1"/>
    <mergeCell ref="A3:P3"/>
    <mergeCell ref="A2:P2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67" fitToHeight="5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P326"/>
  <sheetViews>
    <sheetView view="pageBreakPreview" zoomScale="90" zoomScaleNormal="100" zoomScaleSheetLayoutView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N7" sqref="N7"/>
    </sheetView>
  </sheetViews>
  <sheetFormatPr defaultColWidth="9.33203125" defaultRowHeight="13.2" x14ac:dyDescent="0.25"/>
  <cols>
    <col min="1" max="1" width="45.77734375" style="1" customWidth="1"/>
    <col min="2" max="5" width="8.77734375" style="1" customWidth="1"/>
    <col min="6" max="7" width="6.33203125" style="1" customWidth="1"/>
    <col min="8" max="8" width="10.33203125" style="1" bestFit="1" customWidth="1"/>
    <col min="9" max="9" width="9" style="1" customWidth="1"/>
    <col min="10" max="10" width="15.44140625" style="1" customWidth="1"/>
    <col min="11" max="11" width="11.6640625" style="1" customWidth="1"/>
    <col min="12" max="12" width="12.44140625" style="1" customWidth="1"/>
    <col min="13" max="13" width="21.6640625" style="1" customWidth="1"/>
    <col min="14" max="14" width="21.44140625" style="3" customWidth="1"/>
    <col min="15" max="15" width="21.6640625" style="1" customWidth="1"/>
    <col min="16" max="16" width="17.6640625" style="1" customWidth="1"/>
    <col min="17" max="16384" width="9.33203125" style="1"/>
  </cols>
  <sheetData>
    <row r="1" spans="1:16" ht="21" x14ac:dyDescent="0.25">
      <c r="O1" s="88" t="s">
        <v>592</v>
      </c>
      <c r="P1" s="88"/>
    </row>
    <row r="2" spans="1:16" ht="43.5" customHeight="1" x14ac:dyDescent="0.25">
      <c r="A2" s="90" t="s">
        <v>624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16" ht="15" customHeight="1" x14ac:dyDescent="0.25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6" ht="31.2" x14ac:dyDescent="0.25">
      <c r="A4" s="60" t="s">
        <v>489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6" t="s">
        <v>10</v>
      </c>
      <c r="K4" s="6" t="s">
        <v>11</v>
      </c>
      <c r="L4" s="6" t="s">
        <v>12</v>
      </c>
      <c r="M4" s="5" t="s">
        <v>584</v>
      </c>
      <c r="N4" s="5" t="s">
        <v>585</v>
      </c>
      <c r="O4" s="5" t="s">
        <v>586</v>
      </c>
      <c r="P4" s="5" t="s">
        <v>587</v>
      </c>
    </row>
    <row r="5" spans="1:16" ht="14.4" customHeight="1" x14ac:dyDescent="0.25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  <c r="M5" s="5" t="s">
        <v>25</v>
      </c>
      <c r="N5" s="5">
        <v>14</v>
      </c>
      <c r="O5" s="5">
        <v>15</v>
      </c>
      <c r="P5" s="5">
        <v>16</v>
      </c>
    </row>
    <row r="6" spans="1:16" s="35" customFormat="1" ht="15" customHeight="1" x14ac:dyDescent="0.25">
      <c r="A6" s="37" t="s">
        <v>26</v>
      </c>
      <c r="B6" s="32" t="s">
        <v>0</v>
      </c>
      <c r="C6" s="32" t="s">
        <v>0</v>
      </c>
      <c r="D6" s="32" t="s">
        <v>0</v>
      </c>
      <c r="E6" s="32" t="s">
        <v>0</v>
      </c>
      <c r="F6" s="32" t="s">
        <v>0</v>
      </c>
      <c r="G6" s="32" t="s">
        <v>0</v>
      </c>
      <c r="H6" s="32" t="s">
        <v>0</v>
      </c>
      <c r="I6" s="32" t="s">
        <v>0</v>
      </c>
      <c r="J6" s="32" t="s">
        <v>0</v>
      </c>
      <c r="K6" s="32" t="s">
        <v>0</v>
      </c>
      <c r="L6" s="32" t="s">
        <v>0</v>
      </c>
      <c r="M6" s="61">
        <f>M7+M18+M93+M140+M169+M269+M278+M311</f>
        <v>3183616742.6500001</v>
      </c>
      <c r="N6" s="61">
        <f t="shared" ref="N6:O6" si="0">N7+N18+N93+N140+N169+N269+N278+N311</f>
        <v>2612855845.1300001</v>
      </c>
      <c r="O6" s="61">
        <f t="shared" si="0"/>
        <v>2612855845.1300001</v>
      </c>
      <c r="P6" s="62">
        <f>O6/M6</f>
        <v>0.82071934417429082</v>
      </c>
    </row>
    <row r="7" spans="1:16" s="35" customFormat="1" ht="64.5" customHeight="1" x14ac:dyDescent="0.25">
      <c r="A7" s="37" t="s">
        <v>249</v>
      </c>
      <c r="B7" s="32" t="s">
        <v>114</v>
      </c>
      <c r="C7" s="32" t="s">
        <v>0</v>
      </c>
      <c r="D7" s="32" t="s">
        <v>0</v>
      </c>
      <c r="E7" s="32" t="s">
        <v>0</v>
      </c>
      <c r="F7" s="32" t="s">
        <v>0</v>
      </c>
      <c r="G7" s="32" t="s">
        <v>0</v>
      </c>
      <c r="H7" s="38" t="s">
        <v>0</v>
      </c>
      <c r="I7" s="38" t="s">
        <v>0</v>
      </c>
      <c r="J7" s="38" t="s">
        <v>0</v>
      </c>
      <c r="K7" s="38" t="s">
        <v>0</v>
      </c>
      <c r="L7" s="38" t="s">
        <v>0</v>
      </c>
      <c r="M7" s="61">
        <f t="shared" ref="M7:O12" si="1">M8</f>
        <v>23827232.670000002</v>
      </c>
      <c r="N7" s="61">
        <f t="shared" si="1"/>
        <v>23824192.23</v>
      </c>
      <c r="O7" s="61">
        <f t="shared" si="1"/>
        <v>23824192.23</v>
      </c>
      <c r="P7" s="62">
        <f t="shared" ref="P7:P70" si="2">O7/M7</f>
        <v>0.99987239642798176</v>
      </c>
    </row>
    <row r="8" spans="1:16" s="35" customFormat="1" ht="120.75" customHeight="1" x14ac:dyDescent="0.25">
      <c r="A8" s="37" t="s">
        <v>250</v>
      </c>
      <c r="B8" s="32" t="s">
        <v>114</v>
      </c>
      <c r="C8" s="32" t="s">
        <v>30</v>
      </c>
      <c r="D8" s="32" t="s">
        <v>251</v>
      </c>
      <c r="E8" s="32" t="s">
        <v>0</v>
      </c>
      <c r="F8" s="32" t="s">
        <v>0</v>
      </c>
      <c r="G8" s="32" t="s">
        <v>0</v>
      </c>
      <c r="H8" s="38" t="s">
        <v>0</v>
      </c>
      <c r="I8" s="38" t="s">
        <v>0</v>
      </c>
      <c r="J8" s="38" t="s">
        <v>0</v>
      </c>
      <c r="K8" s="38" t="s">
        <v>0</v>
      </c>
      <c r="L8" s="38" t="s">
        <v>0</v>
      </c>
      <c r="M8" s="61">
        <f t="shared" si="1"/>
        <v>23827232.670000002</v>
      </c>
      <c r="N8" s="61">
        <f t="shared" si="1"/>
        <v>23824192.23</v>
      </c>
      <c r="O8" s="61">
        <f t="shared" si="1"/>
        <v>23824192.23</v>
      </c>
      <c r="P8" s="62">
        <f t="shared" si="2"/>
        <v>0.99987239642798176</v>
      </c>
    </row>
    <row r="9" spans="1:16" s="35" customFormat="1" ht="37.5" customHeight="1" x14ac:dyDescent="0.25">
      <c r="A9" s="37" t="s">
        <v>252</v>
      </c>
      <c r="B9" s="32" t="s">
        <v>114</v>
      </c>
      <c r="C9" s="32" t="s">
        <v>30</v>
      </c>
      <c r="D9" s="32" t="s">
        <v>251</v>
      </c>
      <c r="E9" s="32" t="s">
        <v>253</v>
      </c>
      <c r="F9" s="32" t="s">
        <v>0</v>
      </c>
      <c r="G9" s="32" t="s">
        <v>0</v>
      </c>
      <c r="H9" s="38" t="s">
        <v>0</v>
      </c>
      <c r="I9" s="38" t="s">
        <v>0</v>
      </c>
      <c r="J9" s="38" t="s">
        <v>0</v>
      </c>
      <c r="K9" s="38" t="s">
        <v>0</v>
      </c>
      <c r="L9" s="38" t="s">
        <v>0</v>
      </c>
      <c r="M9" s="61">
        <f t="shared" si="1"/>
        <v>23827232.670000002</v>
      </c>
      <c r="N9" s="61">
        <f t="shared" si="1"/>
        <v>23824192.23</v>
      </c>
      <c r="O9" s="61">
        <f t="shared" si="1"/>
        <v>23824192.23</v>
      </c>
      <c r="P9" s="62">
        <f t="shared" si="2"/>
        <v>0.99987239642798176</v>
      </c>
    </row>
    <row r="10" spans="1:16" s="35" customFormat="1" ht="15" customHeight="1" x14ac:dyDescent="0.25">
      <c r="A10" s="36" t="s">
        <v>254</v>
      </c>
      <c r="B10" s="32" t="s">
        <v>114</v>
      </c>
      <c r="C10" s="32" t="s">
        <v>30</v>
      </c>
      <c r="D10" s="32" t="s">
        <v>251</v>
      </c>
      <c r="E10" s="32" t="s">
        <v>253</v>
      </c>
      <c r="F10" s="32" t="s">
        <v>255</v>
      </c>
      <c r="G10" s="32" t="s">
        <v>0</v>
      </c>
      <c r="H10" s="32" t="s">
        <v>0</v>
      </c>
      <c r="I10" s="32" t="s">
        <v>0</v>
      </c>
      <c r="J10" s="32" t="s">
        <v>0</v>
      </c>
      <c r="K10" s="32" t="s">
        <v>0</v>
      </c>
      <c r="L10" s="32" t="s">
        <v>0</v>
      </c>
      <c r="M10" s="61">
        <f t="shared" si="1"/>
        <v>23827232.670000002</v>
      </c>
      <c r="N10" s="61">
        <f t="shared" si="1"/>
        <v>23824192.23</v>
      </c>
      <c r="O10" s="61">
        <f t="shared" si="1"/>
        <v>23824192.23</v>
      </c>
      <c r="P10" s="62">
        <f t="shared" si="2"/>
        <v>0.99987239642798176</v>
      </c>
    </row>
    <row r="11" spans="1:16" s="35" customFormat="1" ht="40.5" customHeight="1" x14ac:dyDescent="0.25">
      <c r="A11" s="36" t="s">
        <v>256</v>
      </c>
      <c r="B11" s="32" t="s">
        <v>114</v>
      </c>
      <c r="C11" s="32" t="s">
        <v>30</v>
      </c>
      <c r="D11" s="32" t="s">
        <v>251</v>
      </c>
      <c r="E11" s="32" t="s">
        <v>253</v>
      </c>
      <c r="F11" s="32" t="s">
        <v>255</v>
      </c>
      <c r="G11" s="32" t="s">
        <v>48</v>
      </c>
      <c r="H11" s="32" t="s">
        <v>0</v>
      </c>
      <c r="I11" s="32" t="s">
        <v>0</v>
      </c>
      <c r="J11" s="32" t="s">
        <v>0</v>
      </c>
      <c r="K11" s="32" t="s">
        <v>0</v>
      </c>
      <c r="L11" s="32" t="s">
        <v>0</v>
      </c>
      <c r="M11" s="61">
        <f t="shared" si="1"/>
        <v>23827232.670000002</v>
      </c>
      <c r="N11" s="61">
        <f t="shared" si="1"/>
        <v>23824192.23</v>
      </c>
      <c r="O11" s="61">
        <f t="shared" si="1"/>
        <v>23824192.23</v>
      </c>
      <c r="P11" s="62">
        <f t="shared" si="2"/>
        <v>0.99987239642798176</v>
      </c>
    </row>
    <row r="12" spans="1:16" s="35" customFormat="1" ht="15" customHeight="1" x14ac:dyDescent="0.25">
      <c r="A12" s="37" t="s">
        <v>254</v>
      </c>
      <c r="B12" s="32" t="s">
        <v>114</v>
      </c>
      <c r="C12" s="32" t="s">
        <v>30</v>
      </c>
      <c r="D12" s="32" t="s">
        <v>251</v>
      </c>
      <c r="E12" s="32" t="s">
        <v>253</v>
      </c>
      <c r="F12" s="32" t="s">
        <v>255</v>
      </c>
      <c r="G12" s="32" t="s">
        <v>48</v>
      </c>
      <c r="H12" s="32" t="s">
        <v>257</v>
      </c>
      <c r="I12" s="38" t="s">
        <v>0</v>
      </c>
      <c r="J12" s="38" t="s">
        <v>0</v>
      </c>
      <c r="K12" s="38" t="s">
        <v>0</v>
      </c>
      <c r="L12" s="38" t="s">
        <v>0</v>
      </c>
      <c r="M12" s="61">
        <f t="shared" si="1"/>
        <v>23827232.670000002</v>
      </c>
      <c r="N12" s="61">
        <f t="shared" si="1"/>
        <v>23824192.23</v>
      </c>
      <c r="O12" s="61">
        <f t="shared" si="1"/>
        <v>23824192.23</v>
      </c>
      <c r="P12" s="62">
        <f t="shared" si="2"/>
        <v>0.99987239642798176</v>
      </c>
    </row>
    <row r="13" spans="1:16" s="35" customFormat="1" ht="72" customHeight="1" x14ac:dyDescent="0.25">
      <c r="A13" s="37" t="s">
        <v>258</v>
      </c>
      <c r="B13" s="32" t="s">
        <v>114</v>
      </c>
      <c r="C13" s="32" t="s">
        <v>30</v>
      </c>
      <c r="D13" s="32" t="s">
        <v>251</v>
      </c>
      <c r="E13" s="32" t="s">
        <v>253</v>
      </c>
      <c r="F13" s="32" t="s">
        <v>255</v>
      </c>
      <c r="G13" s="32" t="s">
        <v>48</v>
      </c>
      <c r="H13" s="32" t="s">
        <v>257</v>
      </c>
      <c r="I13" s="32" t="s">
        <v>259</v>
      </c>
      <c r="J13" s="32" t="s">
        <v>0</v>
      </c>
      <c r="K13" s="32" t="s">
        <v>0</v>
      </c>
      <c r="L13" s="32" t="s">
        <v>0</v>
      </c>
      <c r="M13" s="61">
        <f>M14+M16</f>
        <v>23827232.670000002</v>
      </c>
      <c r="N13" s="61">
        <f t="shared" ref="N13:O13" si="3">N14+N16</f>
        <v>23824192.23</v>
      </c>
      <c r="O13" s="61">
        <f t="shared" si="3"/>
        <v>23824192.23</v>
      </c>
      <c r="P13" s="62">
        <f t="shared" si="2"/>
        <v>0.99987239642798176</v>
      </c>
    </row>
    <row r="14" spans="1:16" s="35" customFormat="1" ht="15" customHeight="1" x14ac:dyDescent="0.25">
      <c r="A14" s="37" t="s">
        <v>260</v>
      </c>
      <c r="B14" s="39" t="s">
        <v>0</v>
      </c>
      <c r="C14" s="39" t="s">
        <v>0</v>
      </c>
      <c r="D14" s="39" t="s">
        <v>0</v>
      </c>
      <c r="E14" s="39" t="s">
        <v>0</v>
      </c>
      <c r="F14" s="39" t="s">
        <v>0</v>
      </c>
      <c r="G14" s="39" t="s">
        <v>0</v>
      </c>
      <c r="H14" s="39" t="s">
        <v>0</v>
      </c>
      <c r="I14" s="39" t="s">
        <v>0</v>
      </c>
      <c r="J14" s="39" t="s">
        <v>0</v>
      </c>
      <c r="K14" s="39" t="s">
        <v>0</v>
      </c>
      <c r="L14" s="39" t="s">
        <v>0</v>
      </c>
      <c r="M14" s="61">
        <f>M15</f>
        <v>13603903.1</v>
      </c>
      <c r="N14" s="61">
        <f t="shared" ref="N14:O14" si="4">N15</f>
        <v>13603903.1</v>
      </c>
      <c r="O14" s="61">
        <f t="shared" si="4"/>
        <v>13603903.1</v>
      </c>
      <c r="P14" s="62">
        <f t="shared" si="2"/>
        <v>1</v>
      </c>
    </row>
    <row r="15" spans="1:16" s="59" customFormat="1" ht="39" customHeight="1" x14ac:dyDescent="0.25">
      <c r="A15" s="70" t="s">
        <v>261</v>
      </c>
      <c r="B15" s="71" t="s">
        <v>114</v>
      </c>
      <c r="C15" s="71" t="s">
        <v>30</v>
      </c>
      <c r="D15" s="71" t="s">
        <v>251</v>
      </c>
      <c r="E15" s="71" t="s">
        <v>253</v>
      </c>
      <c r="F15" s="71" t="s">
        <v>255</v>
      </c>
      <c r="G15" s="71" t="s">
        <v>48</v>
      </c>
      <c r="H15" s="71" t="s">
        <v>257</v>
      </c>
      <c r="I15" s="71" t="s">
        <v>259</v>
      </c>
      <c r="J15" s="72" t="s">
        <v>262</v>
      </c>
      <c r="K15" s="72" t="s">
        <v>263</v>
      </c>
      <c r="L15" s="72" t="s">
        <v>41</v>
      </c>
      <c r="M15" s="73">
        <v>13603903.1</v>
      </c>
      <c r="N15" s="73">
        <v>13603903.1</v>
      </c>
      <c r="O15" s="73">
        <v>13603903.1</v>
      </c>
      <c r="P15" s="74">
        <f t="shared" si="2"/>
        <v>1</v>
      </c>
    </row>
    <row r="16" spans="1:16" s="35" customFormat="1" ht="32.25" customHeight="1" x14ac:dyDescent="0.25">
      <c r="A16" s="76" t="s">
        <v>264</v>
      </c>
      <c r="B16" s="77" t="s">
        <v>0</v>
      </c>
      <c r="C16" s="77" t="s">
        <v>0</v>
      </c>
      <c r="D16" s="77" t="s">
        <v>0</v>
      </c>
      <c r="E16" s="77" t="s">
        <v>0</v>
      </c>
      <c r="F16" s="77" t="s">
        <v>0</v>
      </c>
      <c r="G16" s="77" t="s">
        <v>0</v>
      </c>
      <c r="H16" s="77" t="s">
        <v>0</v>
      </c>
      <c r="I16" s="77" t="s">
        <v>0</v>
      </c>
      <c r="J16" s="77" t="s">
        <v>0</v>
      </c>
      <c r="K16" s="77" t="s">
        <v>0</v>
      </c>
      <c r="L16" s="77" t="s">
        <v>0</v>
      </c>
      <c r="M16" s="78">
        <f>M17</f>
        <v>10223329.57</v>
      </c>
      <c r="N16" s="78">
        <f t="shared" ref="N16:O16" si="5">N17</f>
        <v>10220289.130000001</v>
      </c>
      <c r="O16" s="78">
        <f t="shared" si="5"/>
        <v>10220289.130000001</v>
      </c>
      <c r="P16" s="79">
        <f t="shared" si="2"/>
        <v>0.99970259786900328</v>
      </c>
    </row>
    <row r="17" spans="1:16" s="59" customFormat="1" ht="32.25" customHeight="1" x14ac:dyDescent="0.25">
      <c r="A17" s="70" t="s">
        <v>265</v>
      </c>
      <c r="B17" s="71" t="s">
        <v>114</v>
      </c>
      <c r="C17" s="71" t="s">
        <v>30</v>
      </c>
      <c r="D17" s="71" t="s">
        <v>251</v>
      </c>
      <c r="E17" s="71" t="s">
        <v>253</v>
      </c>
      <c r="F17" s="71" t="s">
        <v>255</v>
      </c>
      <c r="G17" s="71" t="s">
        <v>48</v>
      </c>
      <c r="H17" s="71" t="s">
        <v>257</v>
      </c>
      <c r="I17" s="71" t="s">
        <v>259</v>
      </c>
      <c r="J17" s="72" t="s">
        <v>266</v>
      </c>
      <c r="K17" s="72" t="s">
        <v>15</v>
      </c>
      <c r="L17" s="72" t="s">
        <v>230</v>
      </c>
      <c r="M17" s="73">
        <v>10223329.57</v>
      </c>
      <c r="N17" s="73">
        <v>10220289.130000001</v>
      </c>
      <c r="O17" s="73">
        <v>10220289.130000001</v>
      </c>
      <c r="P17" s="74">
        <f t="shared" si="2"/>
        <v>0.99970259786900328</v>
      </c>
    </row>
    <row r="18" spans="1:16" s="35" customFormat="1" ht="46.8" x14ac:dyDescent="0.25">
      <c r="A18" s="76" t="s">
        <v>42</v>
      </c>
      <c r="B18" s="80" t="s">
        <v>24</v>
      </c>
      <c r="C18" s="80" t="s">
        <v>0</v>
      </c>
      <c r="D18" s="80" t="s">
        <v>0</v>
      </c>
      <c r="E18" s="80" t="s">
        <v>0</v>
      </c>
      <c r="F18" s="80" t="s">
        <v>0</v>
      </c>
      <c r="G18" s="80" t="s">
        <v>0</v>
      </c>
      <c r="H18" s="81" t="s">
        <v>0</v>
      </c>
      <c r="I18" s="81" t="s">
        <v>0</v>
      </c>
      <c r="J18" s="81" t="s">
        <v>0</v>
      </c>
      <c r="K18" s="81" t="s">
        <v>0</v>
      </c>
      <c r="L18" s="81" t="s">
        <v>0</v>
      </c>
      <c r="M18" s="78">
        <f>M19+M42+M82</f>
        <v>211014631.92000002</v>
      </c>
      <c r="N18" s="78">
        <f t="shared" ref="N18:O18" si="6">N19+N42+N82</f>
        <v>138200444.87</v>
      </c>
      <c r="O18" s="78">
        <f t="shared" si="6"/>
        <v>138200444.87</v>
      </c>
      <c r="P18" s="79">
        <f t="shared" si="2"/>
        <v>0.65493299498963009</v>
      </c>
    </row>
    <row r="19" spans="1:16" s="35" customFormat="1" ht="21" customHeight="1" x14ac:dyDescent="0.25">
      <c r="A19" s="37" t="s">
        <v>267</v>
      </c>
      <c r="B19" s="32" t="s">
        <v>24</v>
      </c>
      <c r="C19" s="32" t="s">
        <v>30</v>
      </c>
      <c r="D19" s="32" t="s">
        <v>268</v>
      </c>
      <c r="E19" s="32" t="s">
        <v>0</v>
      </c>
      <c r="F19" s="32" t="s">
        <v>0</v>
      </c>
      <c r="G19" s="32" t="s">
        <v>0</v>
      </c>
      <c r="H19" s="38" t="s">
        <v>0</v>
      </c>
      <c r="I19" s="38" t="s">
        <v>0</v>
      </c>
      <c r="J19" s="38" t="s">
        <v>0</v>
      </c>
      <c r="K19" s="38" t="s">
        <v>0</v>
      </c>
      <c r="L19" s="38" t="s">
        <v>0</v>
      </c>
      <c r="M19" s="61">
        <f t="shared" ref="M19:O23" si="7">M20</f>
        <v>59194485</v>
      </c>
      <c r="N19" s="61">
        <f t="shared" si="7"/>
        <v>45783568.580000006</v>
      </c>
      <c r="O19" s="61">
        <f t="shared" si="7"/>
        <v>45783568.580000006</v>
      </c>
      <c r="P19" s="62">
        <f t="shared" si="2"/>
        <v>0.77344314390099023</v>
      </c>
    </row>
    <row r="20" spans="1:16" s="35" customFormat="1" ht="69.75" customHeight="1" x14ac:dyDescent="0.25">
      <c r="A20" s="37" t="s">
        <v>44</v>
      </c>
      <c r="B20" s="32" t="s">
        <v>24</v>
      </c>
      <c r="C20" s="32" t="s">
        <v>30</v>
      </c>
      <c r="D20" s="32" t="s">
        <v>268</v>
      </c>
      <c r="E20" s="32" t="s">
        <v>45</v>
      </c>
      <c r="F20" s="32" t="s">
        <v>0</v>
      </c>
      <c r="G20" s="32" t="s">
        <v>0</v>
      </c>
      <c r="H20" s="38" t="s">
        <v>0</v>
      </c>
      <c r="I20" s="38" t="s">
        <v>0</v>
      </c>
      <c r="J20" s="38" t="s">
        <v>0</v>
      </c>
      <c r="K20" s="38" t="s">
        <v>0</v>
      </c>
      <c r="L20" s="38" t="s">
        <v>0</v>
      </c>
      <c r="M20" s="61">
        <f t="shared" si="7"/>
        <v>59194485</v>
      </c>
      <c r="N20" s="61">
        <f t="shared" si="7"/>
        <v>45783568.580000006</v>
      </c>
      <c r="O20" s="61">
        <f t="shared" si="7"/>
        <v>45783568.580000006</v>
      </c>
      <c r="P20" s="62">
        <f t="shared" si="2"/>
        <v>0.77344314390099023</v>
      </c>
    </row>
    <row r="21" spans="1:16" s="35" customFormat="1" ht="15.6" x14ac:dyDescent="0.25">
      <c r="A21" s="36" t="s">
        <v>47</v>
      </c>
      <c r="B21" s="32" t="s">
        <v>24</v>
      </c>
      <c r="C21" s="32" t="s">
        <v>30</v>
      </c>
      <c r="D21" s="32" t="s">
        <v>268</v>
      </c>
      <c r="E21" s="32" t="s">
        <v>45</v>
      </c>
      <c r="F21" s="32" t="s">
        <v>48</v>
      </c>
      <c r="G21" s="32" t="s">
        <v>0</v>
      </c>
      <c r="H21" s="32" t="s">
        <v>0</v>
      </c>
      <c r="I21" s="32" t="s">
        <v>0</v>
      </c>
      <c r="J21" s="32" t="s">
        <v>0</v>
      </c>
      <c r="K21" s="32" t="s">
        <v>0</v>
      </c>
      <c r="L21" s="32" t="s">
        <v>0</v>
      </c>
      <c r="M21" s="61">
        <f t="shared" si="7"/>
        <v>59194485</v>
      </c>
      <c r="N21" s="61">
        <f t="shared" si="7"/>
        <v>45783568.580000006</v>
      </c>
      <c r="O21" s="61">
        <f t="shared" si="7"/>
        <v>45783568.580000006</v>
      </c>
      <c r="P21" s="62">
        <f t="shared" si="2"/>
        <v>0.77344314390099023</v>
      </c>
    </row>
    <row r="22" spans="1:16" s="35" customFormat="1" ht="31.2" x14ac:dyDescent="0.25">
      <c r="A22" s="36" t="s">
        <v>269</v>
      </c>
      <c r="B22" s="32" t="s">
        <v>24</v>
      </c>
      <c r="C22" s="32" t="s">
        <v>30</v>
      </c>
      <c r="D22" s="32" t="s">
        <v>268</v>
      </c>
      <c r="E22" s="32" t="s">
        <v>45</v>
      </c>
      <c r="F22" s="32" t="s">
        <v>48</v>
      </c>
      <c r="G22" s="32" t="s">
        <v>48</v>
      </c>
      <c r="H22" s="32" t="s">
        <v>0</v>
      </c>
      <c r="I22" s="32" t="s">
        <v>0</v>
      </c>
      <c r="J22" s="32" t="s">
        <v>0</v>
      </c>
      <c r="K22" s="32" t="s">
        <v>0</v>
      </c>
      <c r="L22" s="32" t="s">
        <v>0</v>
      </c>
      <c r="M22" s="61">
        <f t="shared" si="7"/>
        <v>59194485</v>
      </c>
      <c r="N22" s="61">
        <f t="shared" si="7"/>
        <v>45783568.580000006</v>
      </c>
      <c r="O22" s="61">
        <f t="shared" si="7"/>
        <v>45783568.580000006</v>
      </c>
      <c r="P22" s="62">
        <f t="shared" si="2"/>
        <v>0.77344314390099023</v>
      </c>
    </row>
    <row r="23" spans="1:16" s="35" customFormat="1" ht="55.5" customHeight="1" x14ac:dyDescent="0.25">
      <c r="A23" s="37" t="s">
        <v>270</v>
      </c>
      <c r="B23" s="32" t="s">
        <v>24</v>
      </c>
      <c r="C23" s="32" t="s">
        <v>30</v>
      </c>
      <c r="D23" s="32" t="s">
        <v>268</v>
      </c>
      <c r="E23" s="32" t="s">
        <v>45</v>
      </c>
      <c r="F23" s="32" t="s">
        <v>48</v>
      </c>
      <c r="G23" s="32" t="s">
        <v>48</v>
      </c>
      <c r="H23" s="32" t="s">
        <v>271</v>
      </c>
      <c r="I23" s="38" t="s">
        <v>0</v>
      </c>
      <c r="J23" s="38" t="s">
        <v>0</v>
      </c>
      <c r="K23" s="38" t="s">
        <v>0</v>
      </c>
      <c r="L23" s="38" t="s">
        <v>0</v>
      </c>
      <c r="M23" s="61">
        <f t="shared" si="7"/>
        <v>59194485</v>
      </c>
      <c r="N23" s="61">
        <f t="shared" si="7"/>
        <v>45783568.580000006</v>
      </c>
      <c r="O23" s="61">
        <f t="shared" si="7"/>
        <v>45783568.580000006</v>
      </c>
      <c r="P23" s="62">
        <f t="shared" si="2"/>
        <v>0.77344314390099023</v>
      </c>
    </row>
    <row r="24" spans="1:16" s="35" customFormat="1" ht="69.75" customHeight="1" x14ac:dyDescent="0.25">
      <c r="A24" s="37" t="s">
        <v>258</v>
      </c>
      <c r="B24" s="32" t="s">
        <v>24</v>
      </c>
      <c r="C24" s="32" t="s">
        <v>30</v>
      </c>
      <c r="D24" s="32" t="s">
        <v>268</v>
      </c>
      <c r="E24" s="32" t="s">
        <v>45</v>
      </c>
      <c r="F24" s="32" t="s">
        <v>48</v>
      </c>
      <c r="G24" s="32" t="s">
        <v>48</v>
      </c>
      <c r="H24" s="32" t="s">
        <v>271</v>
      </c>
      <c r="I24" s="32" t="s">
        <v>259</v>
      </c>
      <c r="J24" s="32" t="s">
        <v>0</v>
      </c>
      <c r="K24" s="32" t="s">
        <v>0</v>
      </c>
      <c r="L24" s="32" t="s">
        <v>0</v>
      </c>
      <c r="M24" s="61">
        <f>M25+M27+M29+M34+M36+M38+M40</f>
        <v>59194485</v>
      </c>
      <c r="N24" s="61">
        <f t="shared" ref="N24:O24" si="8">N25+N27+N29+N34+N36+N38+N40</f>
        <v>45783568.580000006</v>
      </c>
      <c r="O24" s="61">
        <f t="shared" si="8"/>
        <v>45783568.580000006</v>
      </c>
      <c r="P24" s="62">
        <f t="shared" si="2"/>
        <v>0.77344314390099023</v>
      </c>
    </row>
    <row r="25" spans="1:16" s="35" customFormat="1" ht="15.6" x14ac:dyDescent="0.25">
      <c r="A25" s="37" t="s">
        <v>272</v>
      </c>
      <c r="B25" s="39" t="s">
        <v>0</v>
      </c>
      <c r="C25" s="39" t="s">
        <v>0</v>
      </c>
      <c r="D25" s="39" t="s">
        <v>0</v>
      </c>
      <c r="E25" s="39" t="s">
        <v>0</v>
      </c>
      <c r="F25" s="39" t="s">
        <v>0</v>
      </c>
      <c r="G25" s="39" t="s">
        <v>0</v>
      </c>
      <c r="H25" s="39" t="s">
        <v>0</v>
      </c>
      <c r="I25" s="39" t="s">
        <v>0</v>
      </c>
      <c r="J25" s="39" t="s">
        <v>0</v>
      </c>
      <c r="K25" s="39" t="s">
        <v>0</v>
      </c>
      <c r="L25" s="39" t="s">
        <v>0</v>
      </c>
      <c r="M25" s="61">
        <f>M26</f>
        <v>10570626</v>
      </c>
      <c r="N25" s="61">
        <f t="shared" ref="N25:O25" si="9">N26</f>
        <v>10570626</v>
      </c>
      <c r="O25" s="61">
        <f t="shared" si="9"/>
        <v>10570626</v>
      </c>
      <c r="P25" s="62">
        <f t="shared" si="2"/>
        <v>1</v>
      </c>
    </row>
    <row r="26" spans="1:16" ht="66" x14ac:dyDescent="0.25">
      <c r="A26" s="4" t="s">
        <v>569</v>
      </c>
      <c r="B26" s="5" t="s">
        <v>24</v>
      </c>
      <c r="C26" s="5" t="s">
        <v>30</v>
      </c>
      <c r="D26" s="5" t="s">
        <v>268</v>
      </c>
      <c r="E26" s="5" t="s">
        <v>45</v>
      </c>
      <c r="F26" s="5" t="s">
        <v>48</v>
      </c>
      <c r="G26" s="5" t="s">
        <v>48</v>
      </c>
      <c r="H26" s="5" t="s">
        <v>271</v>
      </c>
      <c r="I26" s="5" t="s">
        <v>259</v>
      </c>
      <c r="J26" s="6" t="s">
        <v>532</v>
      </c>
      <c r="K26" s="6" t="s">
        <v>533</v>
      </c>
      <c r="L26" s="6" t="s">
        <v>53</v>
      </c>
      <c r="M26" s="63">
        <f>6745000+3825626</f>
        <v>10570626</v>
      </c>
      <c r="N26" s="63">
        <v>10570626</v>
      </c>
      <c r="O26" s="63">
        <v>10570626</v>
      </c>
      <c r="P26" s="64">
        <f t="shared" si="2"/>
        <v>1</v>
      </c>
    </row>
    <row r="27" spans="1:16" s="35" customFormat="1" ht="15.6" x14ac:dyDescent="0.25">
      <c r="A27" s="37" t="s">
        <v>273</v>
      </c>
      <c r="B27" s="39" t="s">
        <v>0</v>
      </c>
      <c r="C27" s="39" t="s">
        <v>0</v>
      </c>
      <c r="D27" s="39" t="s">
        <v>0</v>
      </c>
      <c r="E27" s="39" t="s">
        <v>0</v>
      </c>
      <c r="F27" s="39" t="s">
        <v>0</v>
      </c>
      <c r="G27" s="39" t="s">
        <v>0</v>
      </c>
      <c r="H27" s="39" t="s">
        <v>0</v>
      </c>
      <c r="I27" s="39" t="s">
        <v>0</v>
      </c>
      <c r="J27" s="39" t="s">
        <v>0</v>
      </c>
      <c r="K27" s="39" t="s">
        <v>0</v>
      </c>
      <c r="L27" s="39" t="s">
        <v>0</v>
      </c>
      <c r="M27" s="61">
        <f>M28</f>
        <v>1675307.7</v>
      </c>
      <c r="N27" s="61">
        <f t="shared" ref="N27:O27" si="10">N28</f>
        <v>1675307.7</v>
      </c>
      <c r="O27" s="61">
        <f t="shared" si="10"/>
        <v>1675307.7</v>
      </c>
      <c r="P27" s="62">
        <f t="shared" si="2"/>
        <v>1</v>
      </c>
    </row>
    <row r="28" spans="1:16" ht="46.8" x14ac:dyDescent="0.25">
      <c r="A28" s="4" t="s">
        <v>531</v>
      </c>
      <c r="B28" s="5" t="s">
        <v>24</v>
      </c>
      <c r="C28" s="5" t="s">
        <v>30</v>
      </c>
      <c r="D28" s="5" t="s">
        <v>268</v>
      </c>
      <c r="E28" s="5" t="s">
        <v>45</v>
      </c>
      <c r="F28" s="5" t="s">
        <v>48</v>
      </c>
      <c r="G28" s="5" t="s">
        <v>48</v>
      </c>
      <c r="H28" s="5" t="s">
        <v>271</v>
      </c>
      <c r="I28" s="5" t="s">
        <v>259</v>
      </c>
      <c r="J28" s="6" t="s">
        <v>274</v>
      </c>
      <c r="K28" s="6">
        <v>1.923</v>
      </c>
      <c r="L28" s="6" t="s">
        <v>53</v>
      </c>
      <c r="M28" s="63">
        <f>2000000-324692.3</f>
        <v>1675307.7</v>
      </c>
      <c r="N28" s="63">
        <v>1675307.7</v>
      </c>
      <c r="O28" s="63">
        <v>1675307.7</v>
      </c>
      <c r="P28" s="64">
        <f t="shared" si="2"/>
        <v>1</v>
      </c>
    </row>
    <row r="29" spans="1:16" s="35" customFormat="1" ht="15.6" x14ac:dyDescent="0.25">
      <c r="A29" s="37" t="s">
        <v>325</v>
      </c>
      <c r="B29" s="39" t="s">
        <v>0</v>
      </c>
      <c r="C29" s="39" t="s">
        <v>0</v>
      </c>
      <c r="D29" s="39" t="s">
        <v>0</v>
      </c>
      <c r="E29" s="39" t="s">
        <v>0</v>
      </c>
      <c r="F29" s="39" t="s">
        <v>0</v>
      </c>
      <c r="G29" s="39" t="s">
        <v>0</v>
      </c>
      <c r="H29" s="39" t="s">
        <v>0</v>
      </c>
      <c r="I29" s="39" t="s">
        <v>0</v>
      </c>
      <c r="J29" s="39" t="s">
        <v>0</v>
      </c>
      <c r="K29" s="39" t="s">
        <v>0</v>
      </c>
      <c r="L29" s="39" t="s">
        <v>0</v>
      </c>
      <c r="M29" s="61">
        <f>M30+M31+M32+M33</f>
        <v>22775791.5</v>
      </c>
      <c r="N29" s="61">
        <f t="shared" ref="N29:O29" si="11">N30+N31+N32+N33</f>
        <v>22122630.98</v>
      </c>
      <c r="O29" s="61">
        <f t="shared" si="11"/>
        <v>22122630.98</v>
      </c>
      <c r="P29" s="62">
        <f t="shared" si="2"/>
        <v>0.97132215931990773</v>
      </c>
    </row>
    <row r="30" spans="1:16" ht="52.8" x14ac:dyDescent="0.25">
      <c r="A30" s="4" t="s">
        <v>275</v>
      </c>
      <c r="B30" s="5" t="s">
        <v>24</v>
      </c>
      <c r="C30" s="5" t="s">
        <v>30</v>
      </c>
      <c r="D30" s="5" t="s">
        <v>268</v>
      </c>
      <c r="E30" s="5" t="s">
        <v>45</v>
      </c>
      <c r="F30" s="5" t="s">
        <v>48</v>
      </c>
      <c r="G30" s="5" t="s">
        <v>48</v>
      </c>
      <c r="H30" s="5" t="s">
        <v>271</v>
      </c>
      <c r="I30" s="5" t="s">
        <v>259</v>
      </c>
      <c r="J30" s="6" t="s">
        <v>534</v>
      </c>
      <c r="K30" s="6" t="s">
        <v>535</v>
      </c>
      <c r="L30" s="6" t="s">
        <v>53</v>
      </c>
      <c r="M30" s="63">
        <f>5035000+815523.8</f>
        <v>5850523.7999999998</v>
      </c>
      <c r="N30" s="63">
        <v>5821271.1799999997</v>
      </c>
      <c r="O30" s="63">
        <v>5821271.1799999997</v>
      </c>
      <c r="P30" s="64">
        <f t="shared" si="2"/>
        <v>0.99499999982907517</v>
      </c>
    </row>
    <row r="31" spans="1:16" ht="52.8" x14ac:dyDescent="0.25">
      <c r="A31" s="4" t="s">
        <v>277</v>
      </c>
      <c r="B31" s="5" t="s">
        <v>24</v>
      </c>
      <c r="C31" s="5" t="s">
        <v>30</v>
      </c>
      <c r="D31" s="5" t="s">
        <v>268</v>
      </c>
      <c r="E31" s="5" t="s">
        <v>45</v>
      </c>
      <c r="F31" s="5" t="s">
        <v>48</v>
      </c>
      <c r="G31" s="5" t="s">
        <v>48</v>
      </c>
      <c r="H31" s="5" t="s">
        <v>271</v>
      </c>
      <c r="I31" s="5" t="s">
        <v>259</v>
      </c>
      <c r="J31" s="6" t="s">
        <v>534</v>
      </c>
      <c r="K31" s="6" t="s">
        <v>536</v>
      </c>
      <c r="L31" s="6" t="s">
        <v>53</v>
      </c>
      <c r="M31" s="63">
        <f>3500000+1592282.8</f>
        <v>5092282.8</v>
      </c>
      <c r="N31" s="63">
        <v>5092282.8</v>
      </c>
      <c r="O31" s="63">
        <v>5092282.8</v>
      </c>
      <c r="P31" s="64">
        <f t="shared" si="2"/>
        <v>1</v>
      </c>
    </row>
    <row r="32" spans="1:16" ht="62.4" x14ac:dyDescent="0.25">
      <c r="A32" s="4" t="s">
        <v>278</v>
      </c>
      <c r="B32" s="5" t="s">
        <v>24</v>
      </c>
      <c r="C32" s="5" t="s">
        <v>30</v>
      </c>
      <c r="D32" s="5" t="s">
        <v>268</v>
      </c>
      <c r="E32" s="5" t="s">
        <v>45</v>
      </c>
      <c r="F32" s="5" t="s">
        <v>48</v>
      </c>
      <c r="G32" s="5" t="s">
        <v>48</v>
      </c>
      <c r="H32" s="5" t="s">
        <v>271</v>
      </c>
      <c r="I32" s="5" t="s">
        <v>259</v>
      </c>
      <c r="J32" s="6" t="s">
        <v>537</v>
      </c>
      <c r="K32" s="6" t="s">
        <v>538</v>
      </c>
      <c r="L32" s="6" t="s">
        <v>53</v>
      </c>
      <c r="M32" s="63">
        <f>6846889.5+378090.9</f>
        <v>7224980.4000000004</v>
      </c>
      <c r="N32" s="63">
        <v>6846889.5</v>
      </c>
      <c r="O32" s="63">
        <v>6846889.5</v>
      </c>
      <c r="P32" s="64">
        <f t="shared" si="2"/>
        <v>0.94766893762092419</v>
      </c>
    </row>
    <row r="33" spans="1:16" ht="85.5" customHeight="1" x14ac:dyDescent="0.25">
      <c r="A33" s="4" t="s">
        <v>279</v>
      </c>
      <c r="B33" s="5" t="s">
        <v>24</v>
      </c>
      <c r="C33" s="5" t="s">
        <v>30</v>
      </c>
      <c r="D33" s="5" t="s">
        <v>268</v>
      </c>
      <c r="E33" s="5" t="s">
        <v>45</v>
      </c>
      <c r="F33" s="5" t="s">
        <v>48</v>
      </c>
      <c r="G33" s="5" t="s">
        <v>48</v>
      </c>
      <c r="H33" s="5" t="s">
        <v>271</v>
      </c>
      <c r="I33" s="5" t="s">
        <v>259</v>
      </c>
      <c r="J33" s="6" t="s">
        <v>537</v>
      </c>
      <c r="K33" s="6" t="s">
        <v>539</v>
      </c>
      <c r="L33" s="6" t="s">
        <v>53</v>
      </c>
      <c r="M33" s="63">
        <f>4362187.5+245817</f>
        <v>4608004.5</v>
      </c>
      <c r="N33" s="63">
        <v>4362187.5</v>
      </c>
      <c r="O33" s="63">
        <v>4362187.5</v>
      </c>
      <c r="P33" s="64">
        <f t="shared" si="2"/>
        <v>0.94665434897036238</v>
      </c>
    </row>
    <row r="34" spans="1:16" s="35" customFormat="1" ht="18.75" customHeight="1" x14ac:dyDescent="0.25">
      <c r="A34" s="37" t="s">
        <v>280</v>
      </c>
      <c r="B34" s="39" t="s">
        <v>0</v>
      </c>
      <c r="C34" s="39" t="s">
        <v>0</v>
      </c>
      <c r="D34" s="39" t="s">
        <v>0</v>
      </c>
      <c r="E34" s="39" t="s">
        <v>0</v>
      </c>
      <c r="F34" s="39" t="s">
        <v>0</v>
      </c>
      <c r="G34" s="39" t="s">
        <v>0</v>
      </c>
      <c r="H34" s="39" t="s">
        <v>0</v>
      </c>
      <c r="I34" s="39" t="s">
        <v>0</v>
      </c>
      <c r="J34" s="39" t="s">
        <v>0</v>
      </c>
      <c r="K34" s="39" t="s">
        <v>0</v>
      </c>
      <c r="L34" s="39" t="s">
        <v>0</v>
      </c>
      <c r="M34" s="61">
        <f>M35</f>
        <v>3811104</v>
      </c>
      <c r="N34" s="61">
        <f t="shared" ref="N34:O34" si="12">N35</f>
        <v>3811104</v>
      </c>
      <c r="O34" s="61">
        <f t="shared" si="12"/>
        <v>3811104</v>
      </c>
      <c r="P34" s="62">
        <f t="shared" si="2"/>
        <v>1</v>
      </c>
    </row>
    <row r="35" spans="1:16" ht="59.25" customHeight="1" x14ac:dyDescent="0.25">
      <c r="A35" s="4" t="s">
        <v>570</v>
      </c>
      <c r="B35" s="5" t="s">
        <v>24</v>
      </c>
      <c r="C35" s="5" t="s">
        <v>30</v>
      </c>
      <c r="D35" s="5" t="s">
        <v>268</v>
      </c>
      <c r="E35" s="5" t="s">
        <v>45</v>
      </c>
      <c r="F35" s="5" t="s">
        <v>48</v>
      </c>
      <c r="G35" s="5" t="s">
        <v>48</v>
      </c>
      <c r="H35" s="5" t="s">
        <v>271</v>
      </c>
      <c r="I35" s="5" t="s">
        <v>259</v>
      </c>
      <c r="J35" s="6" t="s">
        <v>540</v>
      </c>
      <c r="K35" s="6" t="s">
        <v>541</v>
      </c>
      <c r="L35" s="6" t="s">
        <v>53</v>
      </c>
      <c r="M35" s="63">
        <f>6000000-2188896</f>
        <v>3811104</v>
      </c>
      <c r="N35" s="63">
        <v>3811104</v>
      </c>
      <c r="O35" s="63">
        <v>3811104</v>
      </c>
      <c r="P35" s="64">
        <f t="shared" si="2"/>
        <v>1</v>
      </c>
    </row>
    <row r="36" spans="1:16" s="35" customFormat="1" ht="18" customHeight="1" x14ac:dyDescent="0.25">
      <c r="A36" s="37" t="s">
        <v>281</v>
      </c>
      <c r="B36" s="39" t="s">
        <v>0</v>
      </c>
      <c r="C36" s="39" t="s">
        <v>0</v>
      </c>
      <c r="D36" s="39" t="s">
        <v>0</v>
      </c>
      <c r="E36" s="39" t="s">
        <v>0</v>
      </c>
      <c r="F36" s="39" t="s">
        <v>0</v>
      </c>
      <c r="G36" s="39" t="s">
        <v>0</v>
      </c>
      <c r="H36" s="39" t="s">
        <v>0</v>
      </c>
      <c r="I36" s="39" t="s">
        <v>0</v>
      </c>
      <c r="J36" s="39" t="s">
        <v>0</v>
      </c>
      <c r="K36" s="39" t="s">
        <v>0</v>
      </c>
      <c r="L36" s="39" t="s">
        <v>0</v>
      </c>
      <c r="M36" s="61">
        <f>M37</f>
        <v>1875386.7</v>
      </c>
      <c r="N36" s="61">
        <f t="shared" ref="N36:O36" si="13">N37</f>
        <v>1838429.2</v>
      </c>
      <c r="O36" s="61">
        <f t="shared" si="13"/>
        <v>1838429.2</v>
      </c>
      <c r="P36" s="62">
        <f t="shared" si="2"/>
        <v>0.9802933976230076</v>
      </c>
    </row>
    <row r="37" spans="1:16" ht="55.5" customHeight="1" x14ac:dyDescent="0.25">
      <c r="A37" s="4" t="s">
        <v>282</v>
      </c>
      <c r="B37" s="5" t="s">
        <v>24</v>
      </c>
      <c r="C37" s="5" t="s">
        <v>30</v>
      </c>
      <c r="D37" s="5" t="s">
        <v>268</v>
      </c>
      <c r="E37" s="5" t="s">
        <v>45</v>
      </c>
      <c r="F37" s="5" t="s">
        <v>48</v>
      </c>
      <c r="G37" s="5" t="s">
        <v>48</v>
      </c>
      <c r="H37" s="5" t="s">
        <v>271</v>
      </c>
      <c r="I37" s="5" t="s">
        <v>259</v>
      </c>
      <c r="J37" s="6" t="s">
        <v>274</v>
      </c>
      <c r="K37" s="6">
        <v>2.2309999999999999</v>
      </c>
      <c r="L37" s="6" t="s">
        <v>53</v>
      </c>
      <c r="M37" s="63">
        <f>3500000-1624613.3</f>
        <v>1875386.7</v>
      </c>
      <c r="N37" s="63">
        <v>1838429.2</v>
      </c>
      <c r="O37" s="63">
        <v>1838429.2</v>
      </c>
      <c r="P37" s="64">
        <f t="shared" si="2"/>
        <v>0.9802933976230076</v>
      </c>
    </row>
    <row r="38" spans="1:16" s="35" customFormat="1" ht="36.75" customHeight="1" x14ac:dyDescent="0.25">
      <c r="A38" s="37" t="s">
        <v>283</v>
      </c>
      <c r="B38" s="39" t="s">
        <v>0</v>
      </c>
      <c r="C38" s="39" t="s">
        <v>0</v>
      </c>
      <c r="D38" s="39" t="s">
        <v>0</v>
      </c>
      <c r="E38" s="39" t="s">
        <v>0</v>
      </c>
      <c r="F38" s="39" t="s">
        <v>0</v>
      </c>
      <c r="G38" s="39" t="s">
        <v>0</v>
      </c>
      <c r="H38" s="39" t="s">
        <v>0</v>
      </c>
      <c r="I38" s="39" t="s">
        <v>0</v>
      </c>
      <c r="J38" s="39" t="s">
        <v>0</v>
      </c>
      <c r="K38" s="39" t="s">
        <v>0</v>
      </c>
      <c r="L38" s="39" t="s">
        <v>0</v>
      </c>
      <c r="M38" s="61">
        <f>M39</f>
        <v>1858744.8</v>
      </c>
      <c r="N38" s="61">
        <f t="shared" ref="N38:O38" si="14">N39</f>
        <v>1850834.7</v>
      </c>
      <c r="O38" s="61">
        <f t="shared" si="14"/>
        <v>1850834.7</v>
      </c>
      <c r="P38" s="62">
        <f t="shared" si="2"/>
        <v>0.99574438621159822</v>
      </c>
    </row>
    <row r="39" spans="1:16" ht="55.5" customHeight="1" x14ac:dyDescent="0.25">
      <c r="A39" s="4" t="s">
        <v>571</v>
      </c>
      <c r="B39" s="5" t="s">
        <v>24</v>
      </c>
      <c r="C39" s="5" t="s">
        <v>30</v>
      </c>
      <c r="D39" s="5" t="s">
        <v>268</v>
      </c>
      <c r="E39" s="5" t="s">
        <v>45</v>
      </c>
      <c r="F39" s="5" t="s">
        <v>48</v>
      </c>
      <c r="G39" s="5" t="s">
        <v>48</v>
      </c>
      <c r="H39" s="5" t="s">
        <v>271</v>
      </c>
      <c r="I39" s="5" t="s">
        <v>259</v>
      </c>
      <c r="J39" s="6" t="s">
        <v>274</v>
      </c>
      <c r="K39" s="6">
        <v>1.4970000000000001</v>
      </c>
      <c r="L39" s="6" t="s">
        <v>53</v>
      </c>
      <c r="M39" s="63">
        <f>1278111+580633.8</f>
        <v>1858744.8</v>
      </c>
      <c r="N39" s="63">
        <v>1850834.7</v>
      </c>
      <c r="O39" s="63">
        <v>1850834.7</v>
      </c>
      <c r="P39" s="64">
        <f t="shared" si="2"/>
        <v>0.99574438621159822</v>
      </c>
    </row>
    <row r="40" spans="1:16" s="35" customFormat="1" ht="31.2" x14ac:dyDescent="0.25">
      <c r="A40" s="37" t="s">
        <v>284</v>
      </c>
      <c r="B40" s="39" t="s">
        <v>0</v>
      </c>
      <c r="C40" s="39" t="s">
        <v>0</v>
      </c>
      <c r="D40" s="39" t="s">
        <v>0</v>
      </c>
      <c r="E40" s="39" t="s">
        <v>0</v>
      </c>
      <c r="F40" s="39" t="s">
        <v>0</v>
      </c>
      <c r="G40" s="39" t="s">
        <v>0</v>
      </c>
      <c r="H40" s="39" t="s">
        <v>0</v>
      </c>
      <c r="I40" s="39" t="s">
        <v>0</v>
      </c>
      <c r="J40" s="39" t="s">
        <v>0</v>
      </c>
      <c r="K40" s="39" t="s">
        <v>0</v>
      </c>
      <c r="L40" s="39" t="s">
        <v>0</v>
      </c>
      <c r="M40" s="61">
        <f>M41</f>
        <v>16627524.300000001</v>
      </c>
      <c r="N40" s="61">
        <f t="shared" ref="N40:O40" si="15">N41</f>
        <v>3914636</v>
      </c>
      <c r="O40" s="61">
        <f t="shared" si="15"/>
        <v>3914636</v>
      </c>
      <c r="P40" s="62">
        <f t="shared" si="2"/>
        <v>0.23543107977896624</v>
      </c>
    </row>
    <row r="41" spans="1:16" ht="72" customHeight="1" x14ac:dyDescent="0.25">
      <c r="A41" s="4" t="s">
        <v>572</v>
      </c>
      <c r="B41" s="5" t="s">
        <v>24</v>
      </c>
      <c r="C41" s="5" t="s">
        <v>30</v>
      </c>
      <c r="D41" s="5" t="s">
        <v>268</v>
      </c>
      <c r="E41" s="5" t="s">
        <v>45</v>
      </c>
      <c r="F41" s="5" t="s">
        <v>48</v>
      </c>
      <c r="G41" s="5" t="s">
        <v>48</v>
      </c>
      <c r="H41" s="5" t="s">
        <v>271</v>
      </c>
      <c r="I41" s="5" t="s">
        <v>259</v>
      </c>
      <c r="J41" s="6" t="s">
        <v>523</v>
      </c>
      <c r="K41" s="6" t="s">
        <v>285</v>
      </c>
      <c r="L41" s="6" t="s">
        <v>53</v>
      </c>
      <c r="M41" s="63">
        <f>19927297-3299772.7</f>
        <v>16627524.300000001</v>
      </c>
      <c r="N41" s="63">
        <v>3914636</v>
      </c>
      <c r="O41" s="63">
        <v>3914636</v>
      </c>
      <c r="P41" s="64">
        <f t="shared" si="2"/>
        <v>0.23543107977896624</v>
      </c>
    </row>
    <row r="42" spans="1:16" s="35" customFormat="1" ht="15.6" x14ac:dyDescent="0.25">
      <c r="A42" s="37" t="s">
        <v>286</v>
      </c>
      <c r="B42" s="32" t="s">
        <v>24</v>
      </c>
      <c r="C42" s="32" t="s">
        <v>13</v>
      </c>
      <c r="D42" s="32" t="s">
        <v>0</v>
      </c>
      <c r="E42" s="32" t="s">
        <v>0</v>
      </c>
      <c r="F42" s="32" t="s">
        <v>0</v>
      </c>
      <c r="G42" s="32" t="s">
        <v>0</v>
      </c>
      <c r="H42" s="38" t="s">
        <v>0</v>
      </c>
      <c r="I42" s="38" t="s">
        <v>0</v>
      </c>
      <c r="J42" s="38" t="s">
        <v>0</v>
      </c>
      <c r="K42" s="38" t="s">
        <v>0</v>
      </c>
      <c r="L42" s="38" t="s">
        <v>0</v>
      </c>
      <c r="M42" s="61">
        <f t="shared" ref="M42:O47" si="16">M43</f>
        <v>56260273.420000002</v>
      </c>
      <c r="N42" s="61">
        <f t="shared" si="16"/>
        <v>53134856.979999989</v>
      </c>
      <c r="O42" s="61">
        <f t="shared" si="16"/>
        <v>53134856.979999989</v>
      </c>
      <c r="P42" s="62">
        <f t="shared" si="2"/>
        <v>0.94444718715339626</v>
      </c>
    </row>
    <row r="43" spans="1:16" s="35" customFormat="1" ht="71.25" customHeight="1" x14ac:dyDescent="0.25">
      <c r="A43" s="37" t="s">
        <v>287</v>
      </c>
      <c r="B43" s="32" t="s">
        <v>24</v>
      </c>
      <c r="C43" s="32" t="s">
        <v>13</v>
      </c>
      <c r="D43" s="32" t="s">
        <v>288</v>
      </c>
      <c r="E43" s="32" t="s">
        <v>0</v>
      </c>
      <c r="F43" s="32" t="s">
        <v>0</v>
      </c>
      <c r="G43" s="32" t="s">
        <v>0</v>
      </c>
      <c r="H43" s="38" t="s">
        <v>0</v>
      </c>
      <c r="I43" s="38" t="s">
        <v>0</v>
      </c>
      <c r="J43" s="38" t="s">
        <v>0</v>
      </c>
      <c r="K43" s="38" t="s">
        <v>0</v>
      </c>
      <c r="L43" s="38" t="s">
        <v>0</v>
      </c>
      <c r="M43" s="61">
        <f t="shared" si="16"/>
        <v>56260273.420000002</v>
      </c>
      <c r="N43" s="61">
        <f t="shared" si="16"/>
        <v>53134856.979999989</v>
      </c>
      <c r="O43" s="61">
        <f t="shared" si="16"/>
        <v>53134856.979999989</v>
      </c>
      <c r="P43" s="62">
        <f t="shared" si="2"/>
        <v>0.94444718715339626</v>
      </c>
    </row>
    <row r="44" spans="1:16" s="35" customFormat="1" ht="70.5" customHeight="1" x14ac:dyDescent="0.25">
      <c r="A44" s="37" t="s">
        <v>44</v>
      </c>
      <c r="B44" s="32" t="s">
        <v>24</v>
      </c>
      <c r="C44" s="32" t="s">
        <v>13</v>
      </c>
      <c r="D44" s="32" t="s">
        <v>288</v>
      </c>
      <c r="E44" s="32" t="s">
        <v>45</v>
      </c>
      <c r="F44" s="32" t="s">
        <v>0</v>
      </c>
      <c r="G44" s="32" t="s">
        <v>0</v>
      </c>
      <c r="H44" s="38" t="s">
        <v>0</v>
      </c>
      <c r="I44" s="38" t="s">
        <v>0</v>
      </c>
      <c r="J44" s="38" t="s">
        <v>0</v>
      </c>
      <c r="K44" s="38" t="s">
        <v>0</v>
      </c>
      <c r="L44" s="38" t="s">
        <v>0</v>
      </c>
      <c r="M44" s="61">
        <f t="shared" si="16"/>
        <v>56260273.420000002</v>
      </c>
      <c r="N44" s="61">
        <f t="shared" si="16"/>
        <v>53134856.979999989</v>
      </c>
      <c r="O44" s="61">
        <f t="shared" si="16"/>
        <v>53134856.979999989</v>
      </c>
      <c r="P44" s="62">
        <f t="shared" si="2"/>
        <v>0.94444718715339626</v>
      </c>
    </row>
    <row r="45" spans="1:16" s="35" customFormat="1" ht="15.6" x14ac:dyDescent="0.25">
      <c r="A45" s="36" t="s">
        <v>47</v>
      </c>
      <c r="B45" s="32" t="s">
        <v>24</v>
      </c>
      <c r="C45" s="32" t="s">
        <v>13</v>
      </c>
      <c r="D45" s="32" t="s">
        <v>288</v>
      </c>
      <c r="E45" s="32" t="s">
        <v>45</v>
      </c>
      <c r="F45" s="32" t="s">
        <v>48</v>
      </c>
      <c r="G45" s="32" t="s">
        <v>0</v>
      </c>
      <c r="H45" s="32" t="s">
        <v>0</v>
      </c>
      <c r="I45" s="32" t="s">
        <v>0</v>
      </c>
      <c r="J45" s="32" t="s">
        <v>0</v>
      </c>
      <c r="K45" s="32" t="s">
        <v>0</v>
      </c>
      <c r="L45" s="32" t="s">
        <v>0</v>
      </c>
      <c r="M45" s="61">
        <f t="shared" si="16"/>
        <v>56260273.420000002</v>
      </c>
      <c r="N45" s="61">
        <f t="shared" si="16"/>
        <v>53134856.979999989</v>
      </c>
      <c r="O45" s="61">
        <f t="shared" si="16"/>
        <v>53134856.979999989</v>
      </c>
      <c r="P45" s="62">
        <f t="shared" si="2"/>
        <v>0.94444718715339626</v>
      </c>
    </row>
    <row r="46" spans="1:16" s="35" customFormat="1" ht="15.6" x14ac:dyDescent="0.25">
      <c r="A46" s="36" t="s">
        <v>49</v>
      </c>
      <c r="B46" s="32" t="s">
        <v>24</v>
      </c>
      <c r="C46" s="32" t="s">
        <v>13</v>
      </c>
      <c r="D46" s="32" t="s">
        <v>288</v>
      </c>
      <c r="E46" s="32" t="s">
        <v>45</v>
      </c>
      <c r="F46" s="32" t="s">
        <v>48</v>
      </c>
      <c r="G46" s="32" t="s">
        <v>28</v>
      </c>
      <c r="H46" s="32" t="s">
        <v>0</v>
      </c>
      <c r="I46" s="32" t="s">
        <v>0</v>
      </c>
      <c r="J46" s="32" t="s">
        <v>0</v>
      </c>
      <c r="K46" s="32" t="s">
        <v>0</v>
      </c>
      <c r="L46" s="32" t="s">
        <v>0</v>
      </c>
      <c r="M46" s="61">
        <f t="shared" si="16"/>
        <v>56260273.420000002</v>
      </c>
      <c r="N46" s="61">
        <f t="shared" si="16"/>
        <v>53134856.979999989</v>
      </c>
      <c r="O46" s="61">
        <f t="shared" si="16"/>
        <v>53134856.979999989</v>
      </c>
      <c r="P46" s="62">
        <f t="shared" si="2"/>
        <v>0.94444718715339626</v>
      </c>
    </row>
    <row r="47" spans="1:16" s="35" customFormat="1" ht="55.5" customHeight="1" x14ac:dyDescent="0.25">
      <c r="A47" s="37" t="s">
        <v>289</v>
      </c>
      <c r="B47" s="32" t="s">
        <v>24</v>
      </c>
      <c r="C47" s="32" t="s">
        <v>13</v>
      </c>
      <c r="D47" s="32" t="s">
        <v>288</v>
      </c>
      <c r="E47" s="32" t="s">
        <v>45</v>
      </c>
      <c r="F47" s="32" t="s">
        <v>48</v>
      </c>
      <c r="G47" s="32" t="s">
        <v>28</v>
      </c>
      <c r="H47" s="32" t="s">
        <v>290</v>
      </c>
      <c r="I47" s="38" t="s">
        <v>0</v>
      </c>
      <c r="J47" s="38" t="s">
        <v>0</v>
      </c>
      <c r="K47" s="38" t="s">
        <v>0</v>
      </c>
      <c r="L47" s="38" t="s">
        <v>0</v>
      </c>
      <c r="M47" s="61">
        <f t="shared" si="16"/>
        <v>56260273.420000002</v>
      </c>
      <c r="N47" s="61">
        <f t="shared" si="16"/>
        <v>53134856.979999989</v>
      </c>
      <c r="O47" s="61">
        <f t="shared" si="16"/>
        <v>53134856.979999989</v>
      </c>
      <c r="P47" s="62">
        <f t="shared" si="2"/>
        <v>0.94444718715339626</v>
      </c>
    </row>
    <row r="48" spans="1:16" s="35" customFormat="1" ht="71.25" customHeight="1" x14ac:dyDescent="0.25">
      <c r="A48" s="37" t="s">
        <v>258</v>
      </c>
      <c r="B48" s="32" t="s">
        <v>24</v>
      </c>
      <c r="C48" s="32" t="s">
        <v>13</v>
      </c>
      <c r="D48" s="32" t="s">
        <v>288</v>
      </c>
      <c r="E48" s="32" t="s">
        <v>45</v>
      </c>
      <c r="F48" s="32" t="s">
        <v>48</v>
      </c>
      <c r="G48" s="32" t="s">
        <v>28</v>
      </c>
      <c r="H48" s="32" t="s">
        <v>290</v>
      </c>
      <c r="I48" s="32" t="s">
        <v>259</v>
      </c>
      <c r="J48" s="32" t="s">
        <v>0</v>
      </c>
      <c r="K48" s="32" t="s">
        <v>0</v>
      </c>
      <c r="L48" s="32" t="s">
        <v>0</v>
      </c>
      <c r="M48" s="61">
        <f>M49+M51+M53+M55+M57+M59+M61+M63+M66+M69+M71+M73+M75+M77+M79+M81</f>
        <v>56260273.420000002</v>
      </c>
      <c r="N48" s="61">
        <f t="shared" ref="N48:O48" si="17">N49+N51+N53+N55+N57+N59+N61+N63+N66+N69+N71+N73+N75+N77+N79+N81</f>
        <v>53134856.979999989</v>
      </c>
      <c r="O48" s="61">
        <f t="shared" si="17"/>
        <v>53134856.979999989</v>
      </c>
      <c r="P48" s="62">
        <f t="shared" si="2"/>
        <v>0.94444718715339626</v>
      </c>
    </row>
    <row r="49" spans="1:16" s="35" customFormat="1" ht="15.6" x14ac:dyDescent="0.25">
      <c r="A49" s="37" t="s">
        <v>291</v>
      </c>
      <c r="B49" s="39" t="s">
        <v>0</v>
      </c>
      <c r="C49" s="39" t="s">
        <v>0</v>
      </c>
      <c r="D49" s="39" t="s">
        <v>0</v>
      </c>
      <c r="E49" s="39" t="s">
        <v>0</v>
      </c>
      <c r="F49" s="39" t="s">
        <v>0</v>
      </c>
      <c r="G49" s="39" t="s">
        <v>0</v>
      </c>
      <c r="H49" s="39" t="s">
        <v>0</v>
      </c>
      <c r="I49" s="39" t="s">
        <v>0</v>
      </c>
      <c r="J49" s="39" t="s">
        <v>0</v>
      </c>
      <c r="K49" s="39" t="s">
        <v>0</v>
      </c>
      <c r="L49" s="39" t="s">
        <v>0</v>
      </c>
      <c r="M49" s="61">
        <f>M50</f>
        <v>5777160.0499999998</v>
      </c>
      <c r="N49" s="61">
        <f t="shared" ref="N49:O49" si="18">N50</f>
        <v>5777160.0499999998</v>
      </c>
      <c r="O49" s="61">
        <f t="shared" si="18"/>
        <v>5777160.0499999998</v>
      </c>
      <c r="P49" s="62">
        <f t="shared" si="2"/>
        <v>1</v>
      </c>
    </row>
    <row r="50" spans="1:16" ht="39.6" x14ac:dyDescent="0.25">
      <c r="A50" s="4" t="s">
        <v>292</v>
      </c>
      <c r="B50" s="5" t="s">
        <v>24</v>
      </c>
      <c r="C50" s="5" t="s">
        <v>13</v>
      </c>
      <c r="D50" s="5" t="s">
        <v>288</v>
      </c>
      <c r="E50" s="5" t="s">
        <v>45</v>
      </c>
      <c r="F50" s="5" t="s">
        <v>48</v>
      </c>
      <c r="G50" s="5" t="s">
        <v>28</v>
      </c>
      <c r="H50" s="5" t="s">
        <v>290</v>
      </c>
      <c r="I50" s="5" t="s">
        <v>259</v>
      </c>
      <c r="J50" s="6" t="s">
        <v>542</v>
      </c>
      <c r="K50" s="82" t="s">
        <v>305</v>
      </c>
      <c r="L50" s="6" t="s">
        <v>53</v>
      </c>
      <c r="M50" s="63">
        <f>5845777.5-68617.45</f>
        <v>5777160.0499999998</v>
      </c>
      <c r="N50" s="63">
        <v>5777160.0499999998</v>
      </c>
      <c r="O50" s="63">
        <v>5777160.0499999998</v>
      </c>
      <c r="P50" s="64">
        <f t="shared" si="2"/>
        <v>1</v>
      </c>
    </row>
    <row r="51" spans="1:16" s="35" customFormat="1" ht="15.6" x14ac:dyDescent="0.25">
      <c r="A51" s="37" t="s">
        <v>293</v>
      </c>
      <c r="B51" s="39" t="s">
        <v>0</v>
      </c>
      <c r="C51" s="39" t="s">
        <v>0</v>
      </c>
      <c r="D51" s="39" t="s">
        <v>0</v>
      </c>
      <c r="E51" s="39" t="s">
        <v>0</v>
      </c>
      <c r="F51" s="39" t="s">
        <v>0</v>
      </c>
      <c r="G51" s="39" t="s">
        <v>0</v>
      </c>
      <c r="H51" s="39" t="s">
        <v>0</v>
      </c>
      <c r="I51" s="39" t="s">
        <v>0</v>
      </c>
      <c r="J51" s="39" t="s">
        <v>0</v>
      </c>
      <c r="K51" s="39" t="s">
        <v>0</v>
      </c>
      <c r="L51" s="39" t="s">
        <v>0</v>
      </c>
      <c r="M51" s="61">
        <f>M52</f>
        <v>7322926.79</v>
      </c>
      <c r="N51" s="61">
        <f t="shared" ref="N51:O51" si="19">N52</f>
        <v>7322926.79</v>
      </c>
      <c r="O51" s="61">
        <f t="shared" si="19"/>
        <v>7322926.79</v>
      </c>
      <c r="P51" s="62">
        <f t="shared" si="2"/>
        <v>1</v>
      </c>
    </row>
    <row r="52" spans="1:16" ht="57" customHeight="1" x14ac:dyDescent="0.25">
      <c r="A52" s="4" t="s">
        <v>294</v>
      </c>
      <c r="B52" s="5" t="s">
        <v>24</v>
      </c>
      <c r="C52" s="5" t="s">
        <v>13</v>
      </c>
      <c r="D52" s="5" t="s">
        <v>288</v>
      </c>
      <c r="E52" s="5" t="s">
        <v>45</v>
      </c>
      <c r="F52" s="5" t="s">
        <v>48</v>
      </c>
      <c r="G52" s="5" t="s">
        <v>28</v>
      </c>
      <c r="H52" s="5" t="s">
        <v>290</v>
      </c>
      <c r="I52" s="5" t="s">
        <v>259</v>
      </c>
      <c r="J52" s="6" t="s">
        <v>543</v>
      </c>
      <c r="K52" s="82" t="s">
        <v>544</v>
      </c>
      <c r="L52" s="6" t="s">
        <v>53</v>
      </c>
      <c r="M52" s="63">
        <f>7322942-15.21</f>
        <v>7322926.79</v>
      </c>
      <c r="N52" s="63">
        <v>7322926.79</v>
      </c>
      <c r="O52" s="63">
        <v>7322926.79</v>
      </c>
      <c r="P52" s="64">
        <f t="shared" si="2"/>
        <v>1</v>
      </c>
    </row>
    <row r="53" spans="1:16" s="35" customFormat="1" ht="15.6" x14ac:dyDescent="0.25">
      <c r="A53" s="37" t="s">
        <v>295</v>
      </c>
      <c r="B53" s="39" t="s">
        <v>0</v>
      </c>
      <c r="C53" s="39" t="s">
        <v>0</v>
      </c>
      <c r="D53" s="39" t="s">
        <v>0</v>
      </c>
      <c r="E53" s="39" t="s">
        <v>0</v>
      </c>
      <c r="F53" s="39" t="s">
        <v>0</v>
      </c>
      <c r="G53" s="39" t="s">
        <v>0</v>
      </c>
      <c r="H53" s="39" t="s">
        <v>0</v>
      </c>
      <c r="I53" s="39" t="s">
        <v>0</v>
      </c>
      <c r="J53" s="39" t="s">
        <v>0</v>
      </c>
      <c r="K53" s="39" t="s">
        <v>0</v>
      </c>
      <c r="L53" s="39" t="s">
        <v>0</v>
      </c>
      <c r="M53" s="61">
        <f>M54</f>
        <v>974542.87</v>
      </c>
      <c r="N53" s="61">
        <f t="shared" ref="N53:O53" si="20">N54</f>
        <v>849191.7</v>
      </c>
      <c r="O53" s="61">
        <f t="shared" si="20"/>
        <v>849191.7</v>
      </c>
      <c r="P53" s="62">
        <f t="shared" si="2"/>
        <v>0.8713743911542855</v>
      </c>
    </row>
    <row r="54" spans="1:16" ht="46.8" x14ac:dyDescent="0.25">
      <c r="A54" s="4" t="s">
        <v>296</v>
      </c>
      <c r="B54" s="5" t="s">
        <v>24</v>
      </c>
      <c r="C54" s="5" t="s">
        <v>13</v>
      </c>
      <c r="D54" s="5" t="s">
        <v>288</v>
      </c>
      <c r="E54" s="5" t="s">
        <v>45</v>
      </c>
      <c r="F54" s="5" t="s">
        <v>48</v>
      </c>
      <c r="G54" s="5" t="s">
        <v>28</v>
      </c>
      <c r="H54" s="5" t="s">
        <v>290</v>
      </c>
      <c r="I54" s="5" t="s">
        <v>259</v>
      </c>
      <c r="J54" s="6" t="s">
        <v>274</v>
      </c>
      <c r="K54" s="6">
        <v>1.036</v>
      </c>
      <c r="L54" s="6" t="s">
        <v>53</v>
      </c>
      <c r="M54" s="63">
        <f>994431.5-19888.63</f>
        <v>974542.87</v>
      </c>
      <c r="N54" s="63">
        <v>849191.7</v>
      </c>
      <c r="O54" s="63">
        <v>849191.7</v>
      </c>
      <c r="P54" s="64">
        <f t="shared" si="2"/>
        <v>0.8713743911542855</v>
      </c>
    </row>
    <row r="55" spans="1:16" s="35" customFormat="1" ht="15.6" x14ac:dyDescent="0.25">
      <c r="A55" s="37" t="s">
        <v>297</v>
      </c>
      <c r="B55" s="39" t="s">
        <v>0</v>
      </c>
      <c r="C55" s="39" t="s">
        <v>0</v>
      </c>
      <c r="D55" s="39" t="s">
        <v>0</v>
      </c>
      <c r="E55" s="39" t="s">
        <v>0</v>
      </c>
      <c r="F55" s="39" t="s">
        <v>0</v>
      </c>
      <c r="G55" s="39" t="s">
        <v>0</v>
      </c>
      <c r="H55" s="39" t="s">
        <v>0</v>
      </c>
      <c r="I55" s="39" t="s">
        <v>0</v>
      </c>
      <c r="J55" s="39" t="s">
        <v>0</v>
      </c>
      <c r="K55" s="39" t="s">
        <v>0</v>
      </c>
      <c r="L55" s="39" t="s">
        <v>0</v>
      </c>
      <c r="M55" s="61">
        <f>M56</f>
        <v>1978918.69</v>
      </c>
      <c r="N55" s="61">
        <f t="shared" ref="N55:O55" si="21">N56</f>
        <v>1940135.09</v>
      </c>
      <c r="O55" s="61">
        <f t="shared" si="21"/>
        <v>1940135.09</v>
      </c>
      <c r="P55" s="62">
        <f t="shared" si="2"/>
        <v>0.98040162024039512</v>
      </c>
    </row>
    <row r="56" spans="1:16" ht="46.8" x14ac:dyDescent="0.25">
      <c r="A56" s="4" t="s">
        <v>298</v>
      </c>
      <c r="B56" s="5" t="s">
        <v>24</v>
      </c>
      <c r="C56" s="5" t="s">
        <v>13</v>
      </c>
      <c r="D56" s="5" t="s">
        <v>288</v>
      </c>
      <c r="E56" s="5" t="s">
        <v>45</v>
      </c>
      <c r="F56" s="5" t="s">
        <v>48</v>
      </c>
      <c r="G56" s="5" t="s">
        <v>28</v>
      </c>
      <c r="H56" s="5" t="s">
        <v>290</v>
      </c>
      <c r="I56" s="5" t="s">
        <v>259</v>
      </c>
      <c r="J56" s="6" t="s">
        <v>274</v>
      </c>
      <c r="K56" s="6">
        <v>1.2250000000000001</v>
      </c>
      <c r="L56" s="6" t="s">
        <v>53</v>
      </c>
      <c r="M56" s="63">
        <f>2000000-21081.31</f>
        <v>1978918.69</v>
      </c>
      <c r="N56" s="63">
        <v>1940135.09</v>
      </c>
      <c r="O56" s="63">
        <v>1940135.09</v>
      </c>
      <c r="P56" s="64">
        <f t="shared" si="2"/>
        <v>0.98040162024039512</v>
      </c>
    </row>
    <row r="57" spans="1:16" s="35" customFormat="1" ht="15.6" x14ac:dyDescent="0.25">
      <c r="A57" s="37" t="s">
        <v>299</v>
      </c>
      <c r="B57" s="39" t="s">
        <v>0</v>
      </c>
      <c r="C57" s="39" t="s">
        <v>0</v>
      </c>
      <c r="D57" s="39" t="s">
        <v>0</v>
      </c>
      <c r="E57" s="39" t="s">
        <v>0</v>
      </c>
      <c r="F57" s="39" t="s">
        <v>0</v>
      </c>
      <c r="G57" s="39" t="s">
        <v>0</v>
      </c>
      <c r="H57" s="39" t="s">
        <v>0</v>
      </c>
      <c r="I57" s="39" t="s">
        <v>0</v>
      </c>
      <c r="J57" s="39" t="s">
        <v>0</v>
      </c>
      <c r="K57" s="39" t="s">
        <v>0</v>
      </c>
      <c r="L57" s="39" t="s">
        <v>0</v>
      </c>
      <c r="M57" s="61">
        <f>M58</f>
        <v>7189680.4700000007</v>
      </c>
      <c r="N57" s="61">
        <f t="shared" ref="N57:O57" si="22">N58</f>
        <v>7189680.4699999997</v>
      </c>
      <c r="O57" s="61">
        <f t="shared" si="22"/>
        <v>7189680.4699999997</v>
      </c>
      <c r="P57" s="62">
        <f t="shared" si="2"/>
        <v>0.99999999999999989</v>
      </c>
    </row>
    <row r="58" spans="1:16" ht="79.2" x14ac:dyDescent="0.25">
      <c r="A58" s="4" t="s">
        <v>300</v>
      </c>
      <c r="B58" s="5" t="s">
        <v>24</v>
      </c>
      <c r="C58" s="5" t="s">
        <v>13</v>
      </c>
      <c r="D58" s="5" t="s">
        <v>288</v>
      </c>
      <c r="E58" s="5" t="s">
        <v>45</v>
      </c>
      <c r="F58" s="5" t="s">
        <v>48</v>
      </c>
      <c r="G58" s="5" t="s">
        <v>28</v>
      </c>
      <c r="H58" s="5" t="s">
        <v>290</v>
      </c>
      <c r="I58" s="5" t="s">
        <v>259</v>
      </c>
      <c r="J58" s="6" t="s">
        <v>546</v>
      </c>
      <c r="K58" s="6" t="s">
        <v>545</v>
      </c>
      <c r="L58" s="6" t="s">
        <v>53</v>
      </c>
      <c r="M58" s="63">
        <f>9400000-2210319.53</f>
        <v>7189680.4700000007</v>
      </c>
      <c r="N58" s="63">
        <v>7189680.4699999997</v>
      </c>
      <c r="O58" s="63">
        <v>7189680.4699999997</v>
      </c>
      <c r="P58" s="64">
        <f t="shared" si="2"/>
        <v>0.99999999999999989</v>
      </c>
    </row>
    <row r="59" spans="1:16" s="35" customFormat="1" ht="15.6" x14ac:dyDescent="0.25">
      <c r="A59" s="37" t="s">
        <v>301</v>
      </c>
      <c r="B59" s="39" t="s">
        <v>0</v>
      </c>
      <c r="C59" s="39" t="s">
        <v>0</v>
      </c>
      <c r="D59" s="39" t="s">
        <v>0</v>
      </c>
      <c r="E59" s="39" t="s">
        <v>0</v>
      </c>
      <c r="F59" s="39" t="s">
        <v>0</v>
      </c>
      <c r="G59" s="39" t="s">
        <v>0</v>
      </c>
      <c r="H59" s="39" t="s">
        <v>0</v>
      </c>
      <c r="I59" s="39" t="s">
        <v>0</v>
      </c>
      <c r="J59" s="39" t="s">
        <v>0</v>
      </c>
      <c r="K59" s="39" t="s">
        <v>0</v>
      </c>
      <c r="L59" s="39" t="s">
        <v>0</v>
      </c>
      <c r="M59" s="61">
        <f>M60</f>
        <v>1543151.5</v>
      </c>
      <c r="N59" s="61">
        <f t="shared" ref="N59:O59" si="23">N60</f>
        <v>1467106.92</v>
      </c>
      <c r="O59" s="61">
        <f t="shared" si="23"/>
        <v>1467106.92</v>
      </c>
      <c r="P59" s="62">
        <f t="shared" si="2"/>
        <v>0.95072124804337088</v>
      </c>
    </row>
    <row r="60" spans="1:16" ht="56.25" customHeight="1" x14ac:dyDescent="0.25">
      <c r="A60" s="4" t="s">
        <v>302</v>
      </c>
      <c r="B60" s="5" t="s">
        <v>24</v>
      </c>
      <c r="C60" s="5" t="s">
        <v>13</v>
      </c>
      <c r="D60" s="5" t="s">
        <v>288</v>
      </c>
      <c r="E60" s="5" t="s">
        <v>45</v>
      </c>
      <c r="F60" s="5" t="s">
        <v>48</v>
      </c>
      <c r="G60" s="5" t="s">
        <v>28</v>
      </c>
      <c r="H60" s="5" t="s">
        <v>290</v>
      </c>
      <c r="I60" s="5" t="s">
        <v>259</v>
      </c>
      <c r="J60" s="6" t="s">
        <v>274</v>
      </c>
      <c r="K60" s="6">
        <v>1.528</v>
      </c>
      <c r="L60" s="6" t="s">
        <v>53</v>
      </c>
      <c r="M60" s="63">
        <f>1452774+90377.5</f>
        <v>1543151.5</v>
      </c>
      <c r="N60" s="63">
        <v>1467106.92</v>
      </c>
      <c r="O60" s="63">
        <v>1467106.92</v>
      </c>
      <c r="P60" s="64">
        <f t="shared" si="2"/>
        <v>0.95072124804337088</v>
      </c>
    </row>
    <row r="61" spans="1:16" s="35" customFormat="1" ht="15.6" x14ac:dyDescent="0.25">
      <c r="A61" s="37" t="s">
        <v>453</v>
      </c>
      <c r="B61" s="39" t="s">
        <v>0</v>
      </c>
      <c r="C61" s="39" t="s">
        <v>0</v>
      </c>
      <c r="D61" s="39" t="s">
        <v>0</v>
      </c>
      <c r="E61" s="39" t="s">
        <v>0</v>
      </c>
      <c r="F61" s="39" t="s">
        <v>0</v>
      </c>
      <c r="G61" s="39" t="s">
        <v>0</v>
      </c>
      <c r="H61" s="39" t="s">
        <v>0</v>
      </c>
      <c r="I61" s="39" t="s">
        <v>0</v>
      </c>
      <c r="J61" s="39" t="s">
        <v>0</v>
      </c>
      <c r="K61" s="39" t="s">
        <v>0</v>
      </c>
      <c r="L61" s="39" t="s">
        <v>0</v>
      </c>
      <c r="M61" s="61">
        <f>M62</f>
        <v>3727600.5</v>
      </c>
      <c r="N61" s="61">
        <f t="shared" ref="N61:O61" si="24">N62</f>
        <v>3727600.5</v>
      </c>
      <c r="O61" s="61">
        <f t="shared" si="24"/>
        <v>3727600.5</v>
      </c>
      <c r="P61" s="62">
        <f t="shared" si="2"/>
        <v>1</v>
      </c>
    </row>
    <row r="62" spans="1:16" ht="52.8" x14ac:dyDescent="0.25">
      <c r="A62" s="4" t="s">
        <v>465</v>
      </c>
      <c r="B62" s="5" t="s">
        <v>24</v>
      </c>
      <c r="C62" s="5" t="s">
        <v>13</v>
      </c>
      <c r="D62" s="5" t="s">
        <v>288</v>
      </c>
      <c r="E62" s="5" t="s">
        <v>45</v>
      </c>
      <c r="F62" s="5" t="s">
        <v>48</v>
      </c>
      <c r="G62" s="5" t="s">
        <v>28</v>
      </c>
      <c r="H62" s="5" t="s">
        <v>290</v>
      </c>
      <c r="I62" s="5" t="s">
        <v>259</v>
      </c>
      <c r="J62" s="6" t="s">
        <v>550</v>
      </c>
      <c r="K62" s="6" t="s">
        <v>553</v>
      </c>
      <c r="L62" s="6" t="s">
        <v>53</v>
      </c>
      <c r="M62" s="63">
        <f>2755000+972600.5</f>
        <v>3727600.5</v>
      </c>
      <c r="N62" s="63">
        <v>3727600.5</v>
      </c>
      <c r="O62" s="63">
        <v>3727600.5</v>
      </c>
      <c r="P62" s="64">
        <f t="shared" si="2"/>
        <v>1</v>
      </c>
    </row>
    <row r="63" spans="1:16" s="35" customFormat="1" ht="15.6" x14ac:dyDescent="0.25">
      <c r="A63" s="37" t="s">
        <v>303</v>
      </c>
      <c r="B63" s="39" t="s">
        <v>0</v>
      </c>
      <c r="C63" s="39" t="s">
        <v>0</v>
      </c>
      <c r="D63" s="39" t="s">
        <v>0</v>
      </c>
      <c r="E63" s="39" t="s">
        <v>0</v>
      </c>
      <c r="F63" s="39" t="s">
        <v>0</v>
      </c>
      <c r="G63" s="39" t="s">
        <v>0</v>
      </c>
      <c r="H63" s="39" t="s">
        <v>0</v>
      </c>
      <c r="I63" s="39" t="s">
        <v>0</v>
      </c>
      <c r="J63" s="39" t="s">
        <v>0</v>
      </c>
      <c r="K63" s="39" t="s">
        <v>0</v>
      </c>
      <c r="L63" s="39" t="s">
        <v>0</v>
      </c>
      <c r="M63" s="61">
        <f>M64+M65</f>
        <v>8571294.629999999</v>
      </c>
      <c r="N63" s="61">
        <f t="shared" ref="N63:O63" si="25">N64+N65</f>
        <v>8571294.629999999</v>
      </c>
      <c r="O63" s="61">
        <f t="shared" si="25"/>
        <v>8571294.629999999</v>
      </c>
      <c r="P63" s="62">
        <f t="shared" si="2"/>
        <v>1</v>
      </c>
    </row>
    <row r="64" spans="1:16" ht="66" x14ac:dyDescent="0.25">
      <c r="A64" s="4" t="s">
        <v>462</v>
      </c>
      <c r="B64" s="5" t="s">
        <v>24</v>
      </c>
      <c r="C64" s="5" t="s">
        <v>13</v>
      </c>
      <c r="D64" s="5" t="s">
        <v>288</v>
      </c>
      <c r="E64" s="5" t="s">
        <v>45</v>
      </c>
      <c r="F64" s="5" t="s">
        <v>48</v>
      </c>
      <c r="G64" s="5" t="s">
        <v>28</v>
      </c>
      <c r="H64" s="5" t="s">
        <v>290</v>
      </c>
      <c r="I64" s="5" t="s">
        <v>259</v>
      </c>
      <c r="J64" s="6" t="s">
        <v>547</v>
      </c>
      <c r="K64" s="6" t="s">
        <v>548</v>
      </c>
      <c r="L64" s="6" t="s">
        <v>53</v>
      </c>
      <c r="M64" s="63">
        <f>3625000-504311.37</f>
        <v>3120688.63</v>
      </c>
      <c r="N64" s="63">
        <v>3120688.63</v>
      </c>
      <c r="O64" s="63">
        <v>3120688.63</v>
      </c>
      <c r="P64" s="64">
        <f t="shared" si="2"/>
        <v>1</v>
      </c>
    </row>
    <row r="65" spans="1:16" ht="66" x14ac:dyDescent="0.25">
      <c r="A65" s="4" t="s">
        <v>463</v>
      </c>
      <c r="B65" s="5" t="s">
        <v>24</v>
      </c>
      <c r="C65" s="5" t="s">
        <v>13</v>
      </c>
      <c r="D65" s="5" t="s">
        <v>288</v>
      </c>
      <c r="E65" s="5" t="s">
        <v>45</v>
      </c>
      <c r="F65" s="5" t="s">
        <v>48</v>
      </c>
      <c r="G65" s="5" t="s">
        <v>28</v>
      </c>
      <c r="H65" s="5" t="s">
        <v>290</v>
      </c>
      <c r="I65" s="5" t="s">
        <v>259</v>
      </c>
      <c r="J65" s="6" t="s">
        <v>547</v>
      </c>
      <c r="K65" s="6" t="s">
        <v>549</v>
      </c>
      <c r="L65" s="6" t="s">
        <v>53</v>
      </c>
      <c r="M65" s="63">
        <v>5450606</v>
      </c>
      <c r="N65" s="63">
        <v>5450606</v>
      </c>
      <c r="O65" s="63">
        <v>5450606</v>
      </c>
      <c r="P65" s="64">
        <f t="shared" si="2"/>
        <v>1</v>
      </c>
    </row>
    <row r="66" spans="1:16" s="35" customFormat="1" ht="15.6" x14ac:dyDescent="0.25">
      <c r="A66" s="37" t="s">
        <v>304</v>
      </c>
      <c r="B66" s="39" t="s">
        <v>0</v>
      </c>
      <c r="C66" s="39" t="s">
        <v>0</v>
      </c>
      <c r="D66" s="39" t="s">
        <v>0</v>
      </c>
      <c r="E66" s="39" t="s">
        <v>0</v>
      </c>
      <c r="F66" s="39" t="s">
        <v>0</v>
      </c>
      <c r="G66" s="39" t="s">
        <v>0</v>
      </c>
      <c r="H66" s="39" t="s">
        <v>0</v>
      </c>
      <c r="I66" s="39" t="s">
        <v>0</v>
      </c>
      <c r="J66" s="39" t="s">
        <v>0</v>
      </c>
      <c r="K66" s="39" t="s">
        <v>0</v>
      </c>
      <c r="L66" s="39" t="s">
        <v>0</v>
      </c>
      <c r="M66" s="61">
        <f>M67+M68</f>
        <v>6546307.5</v>
      </c>
      <c r="N66" s="61">
        <f t="shared" ref="N66:O66" si="26">N67+N68</f>
        <v>6523315.3300000001</v>
      </c>
      <c r="O66" s="61">
        <f t="shared" si="26"/>
        <v>6523315.3300000001</v>
      </c>
      <c r="P66" s="62">
        <f t="shared" si="2"/>
        <v>0.99648776504922809</v>
      </c>
    </row>
    <row r="67" spans="1:16" ht="52.8" x14ac:dyDescent="0.25">
      <c r="A67" s="4" t="s">
        <v>460</v>
      </c>
      <c r="B67" s="5" t="s">
        <v>24</v>
      </c>
      <c r="C67" s="5" t="s">
        <v>13</v>
      </c>
      <c r="D67" s="5" t="s">
        <v>288</v>
      </c>
      <c r="E67" s="5" t="s">
        <v>45</v>
      </c>
      <c r="F67" s="5" t="s">
        <v>48</v>
      </c>
      <c r="G67" s="5" t="s">
        <v>28</v>
      </c>
      <c r="H67" s="5" t="s">
        <v>290</v>
      </c>
      <c r="I67" s="5" t="s">
        <v>259</v>
      </c>
      <c r="J67" s="6" t="s">
        <v>550</v>
      </c>
      <c r="K67" s="6" t="s">
        <v>551</v>
      </c>
      <c r="L67" s="6" t="s">
        <v>53</v>
      </c>
      <c r="M67" s="63">
        <f>2850000-286691</f>
        <v>2563309</v>
      </c>
      <c r="N67" s="63">
        <v>2558655.69</v>
      </c>
      <c r="O67" s="63">
        <v>2558655.69</v>
      </c>
      <c r="P67" s="64">
        <f t="shared" si="2"/>
        <v>0.99818464726648248</v>
      </c>
    </row>
    <row r="68" spans="1:16" ht="66" x14ac:dyDescent="0.25">
      <c r="A68" s="4" t="s">
        <v>501</v>
      </c>
      <c r="B68" s="5" t="s">
        <v>24</v>
      </c>
      <c r="C68" s="5" t="s">
        <v>13</v>
      </c>
      <c r="D68" s="5" t="s">
        <v>288</v>
      </c>
      <c r="E68" s="5" t="s">
        <v>45</v>
      </c>
      <c r="F68" s="5" t="s">
        <v>48</v>
      </c>
      <c r="G68" s="5" t="s">
        <v>28</v>
      </c>
      <c r="H68" s="5" t="s">
        <v>290</v>
      </c>
      <c r="I68" s="5" t="s">
        <v>259</v>
      </c>
      <c r="J68" s="6" t="s">
        <v>547</v>
      </c>
      <c r="K68" s="6" t="s">
        <v>552</v>
      </c>
      <c r="L68" s="6" t="s">
        <v>53</v>
      </c>
      <c r="M68" s="63">
        <f>5434111-1451112.5</f>
        <v>3982998.5</v>
      </c>
      <c r="N68" s="63">
        <v>3964659.64</v>
      </c>
      <c r="O68" s="63">
        <v>3964659.64</v>
      </c>
      <c r="P68" s="64">
        <f t="shared" si="2"/>
        <v>0.99539571506240843</v>
      </c>
    </row>
    <row r="69" spans="1:16" s="35" customFormat="1" ht="15.6" x14ac:dyDescent="0.25">
      <c r="A69" s="37" t="s">
        <v>306</v>
      </c>
      <c r="B69" s="39" t="s">
        <v>0</v>
      </c>
      <c r="C69" s="39" t="s">
        <v>0</v>
      </c>
      <c r="D69" s="39" t="s">
        <v>0</v>
      </c>
      <c r="E69" s="39" t="s">
        <v>0</v>
      </c>
      <c r="F69" s="39" t="s">
        <v>0</v>
      </c>
      <c r="G69" s="39" t="s">
        <v>0</v>
      </c>
      <c r="H69" s="39" t="s">
        <v>0</v>
      </c>
      <c r="I69" s="39" t="s">
        <v>0</v>
      </c>
      <c r="J69" s="39" t="s">
        <v>0</v>
      </c>
      <c r="K69" s="39" t="s">
        <v>0</v>
      </c>
      <c r="L69" s="39" t="s">
        <v>0</v>
      </c>
      <c r="M69" s="61">
        <f>M70</f>
        <v>1891450</v>
      </c>
      <c r="N69" s="61">
        <f t="shared" ref="N69:O69" si="27">N70</f>
        <v>1891450</v>
      </c>
      <c r="O69" s="61">
        <f t="shared" si="27"/>
        <v>1891450</v>
      </c>
      <c r="P69" s="62">
        <f t="shared" si="2"/>
        <v>1</v>
      </c>
    </row>
    <row r="70" spans="1:16" ht="54" customHeight="1" x14ac:dyDescent="0.25">
      <c r="A70" s="4" t="s">
        <v>307</v>
      </c>
      <c r="B70" s="5" t="s">
        <v>24</v>
      </c>
      <c r="C70" s="5" t="s">
        <v>13</v>
      </c>
      <c r="D70" s="5" t="s">
        <v>288</v>
      </c>
      <c r="E70" s="5" t="s">
        <v>45</v>
      </c>
      <c r="F70" s="5" t="s">
        <v>48</v>
      </c>
      <c r="G70" s="5" t="s">
        <v>28</v>
      </c>
      <c r="H70" s="5" t="s">
        <v>290</v>
      </c>
      <c r="I70" s="5" t="s">
        <v>259</v>
      </c>
      <c r="J70" s="6" t="s">
        <v>274</v>
      </c>
      <c r="K70" s="6">
        <v>2.0449999999999999</v>
      </c>
      <c r="L70" s="6" t="s">
        <v>53</v>
      </c>
      <c r="M70" s="63">
        <f>2000000-108550</f>
        <v>1891450</v>
      </c>
      <c r="N70" s="63">
        <v>1891450</v>
      </c>
      <c r="O70" s="63">
        <v>1891450</v>
      </c>
      <c r="P70" s="64">
        <f t="shared" si="2"/>
        <v>1</v>
      </c>
    </row>
    <row r="71" spans="1:16" s="35" customFormat="1" ht="15.6" x14ac:dyDescent="0.25">
      <c r="A71" s="37" t="s">
        <v>281</v>
      </c>
      <c r="B71" s="39" t="s">
        <v>0</v>
      </c>
      <c r="C71" s="39" t="s">
        <v>0</v>
      </c>
      <c r="D71" s="39" t="s">
        <v>0</v>
      </c>
      <c r="E71" s="39" t="s">
        <v>0</v>
      </c>
      <c r="F71" s="39" t="s">
        <v>0</v>
      </c>
      <c r="G71" s="39" t="s">
        <v>0</v>
      </c>
      <c r="H71" s="39" t="s">
        <v>0</v>
      </c>
      <c r="I71" s="39" t="s">
        <v>0</v>
      </c>
      <c r="J71" s="39" t="s">
        <v>0</v>
      </c>
      <c r="K71" s="39" t="s">
        <v>0</v>
      </c>
      <c r="L71" s="39" t="s">
        <v>0</v>
      </c>
      <c r="M71" s="61">
        <f>M72</f>
        <v>2956427.5</v>
      </c>
      <c r="N71" s="61">
        <f t="shared" ref="N71:O71" si="28">N72</f>
        <v>2956427.5</v>
      </c>
      <c r="O71" s="61">
        <f t="shared" si="28"/>
        <v>2956427.5</v>
      </c>
      <c r="P71" s="62">
        <f t="shared" ref="P71:P134" si="29">O71/M71</f>
        <v>1</v>
      </c>
    </row>
    <row r="72" spans="1:16" ht="54" customHeight="1" x14ac:dyDescent="0.25">
      <c r="A72" s="4" t="s">
        <v>464</v>
      </c>
      <c r="B72" s="5" t="s">
        <v>24</v>
      </c>
      <c r="C72" s="5" t="s">
        <v>13</v>
      </c>
      <c r="D72" s="5" t="s">
        <v>288</v>
      </c>
      <c r="E72" s="5" t="s">
        <v>45</v>
      </c>
      <c r="F72" s="5" t="s">
        <v>48</v>
      </c>
      <c r="G72" s="5" t="s">
        <v>28</v>
      </c>
      <c r="H72" s="5" t="s">
        <v>290</v>
      </c>
      <c r="I72" s="5" t="s">
        <v>259</v>
      </c>
      <c r="J72" s="6" t="s">
        <v>554</v>
      </c>
      <c r="K72" s="6" t="s">
        <v>555</v>
      </c>
      <c r="L72" s="6" t="s">
        <v>53</v>
      </c>
      <c r="M72" s="63">
        <f>3000000-43572.5</f>
        <v>2956427.5</v>
      </c>
      <c r="N72" s="63">
        <v>2956427.5</v>
      </c>
      <c r="O72" s="63">
        <v>2956427.5</v>
      </c>
      <c r="P72" s="64">
        <f t="shared" si="29"/>
        <v>1</v>
      </c>
    </row>
    <row r="73" spans="1:16" s="35" customFormat="1" ht="31.2" x14ac:dyDescent="0.25">
      <c r="A73" s="37" t="s">
        <v>308</v>
      </c>
      <c r="B73" s="39" t="s">
        <v>0</v>
      </c>
      <c r="C73" s="39" t="s">
        <v>0</v>
      </c>
      <c r="D73" s="39" t="s">
        <v>0</v>
      </c>
      <c r="E73" s="39" t="s">
        <v>0</v>
      </c>
      <c r="F73" s="39" t="s">
        <v>0</v>
      </c>
      <c r="G73" s="39" t="s">
        <v>0</v>
      </c>
      <c r="H73" s="39" t="s">
        <v>0</v>
      </c>
      <c r="I73" s="39" t="s">
        <v>0</v>
      </c>
      <c r="J73" s="39" t="s">
        <v>0</v>
      </c>
      <c r="K73" s="39" t="s">
        <v>0</v>
      </c>
      <c r="L73" s="39" t="s">
        <v>0</v>
      </c>
      <c r="M73" s="61">
        <f>M74</f>
        <v>2851301.5</v>
      </c>
      <c r="N73" s="61">
        <f t="shared" ref="N73:O73" si="30">N74</f>
        <v>2851301.5</v>
      </c>
      <c r="O73" s="61">
        <f t="shared" si="30"/>
        <v>2851301.5</v>
      </c>
      <c r="P73" s="62">
        <f t="shared" si="29"/>
        <v>1</v>
      </c>
    </row>
    <row r="74" spans="1:16" ht="54.75" customHeight="1" x14ac:dyDescent="0.25">
      <c r="A74" s="4" t="s">
        <v>309</v>
      </c>
      <c r="B74" s="5" t="s">
        <v>24</v>
      </c>
      <c r="C74" s="5" t="s">
        <v>13</v>
      </c>
      <c r="D74" s="5" t="s">
        <v>288</v>
      </c>
      <c r="E74" s="5" t="s">
        <v>45</v>
      </c>
      <c r="F74" s="5" t="s">
        <v>48</v>
      </c>
      <c r="G74" s="5" t="s">
        <v>28</v>
      </c>
      <c r="H74" s="5" t="s">
        <v>290</v>
      </c>
      <c r="I74" s="5" t="s">
        <v>259</v>
      </c>
      <c r="J74" s="6" t="s">
        <v>542</v>
      </c>
      <c r="K74" s="82" t="s">
        <v>305</v>
      </c>
      <c r="L74" s="6" t="s">
        <v>53</v>
      </c>
      <c r="M74" s="63">
        <v>2851301.5</v>
      </c>
      <c r="N74" s="63">
        <v>2851301.5</v>
      </c>
      <c r="O74" s="63">
        <v>2851301.5</v>
      </c>
      <c r="P74" s="64">
        <f t="shared" si="29"/>
        <v>1</v>
      </c>
    </row>
    <row r="75" spans="1:16" s="35" customFormat="1" ht="31.2" x14ac:dyDescent="0.25">
      <c r="A75" s="37" t="s">
        <v>310</v>
      </c>
      <c r="B75" s="39" t="s">
        <v>0</v>
      </c>
      <c r="C75" s="39" t="s">
        <v>0</v>
      </c>
      <c r="D75" s="39" t="s">
        <v>0</v>
      </c>
      <c r="E75" s="39" t="s">
        <v>0</v>
      </c>
      <c r="F75" s="39" t="s">
        <v>0</v>
      </c>
      <c r="G75" s="39" t="s">
        <v>0</v>
      </c>
      <c r="H75" s="39" t="s">
        <v>0</v>
      </c>
      <c r="I75" s="39" t="s">
        <v>0</v>
      </c>
      <c r="J75" s="39" t="s">
        <v>0</v>
      </c>
      <c r="K75" s="39" t="s">
        <v>0</v>
      </c>
      <c r="L75" s="39" t="s">
        <v>0</v>
      </c>
      <c r="M75" s="61">
        <f>M76</f>
        <v>1660581</v>
      </c>
      <c r="N75" s="61">
        <f t="shared" ref="N75:O75" si="31">N76</f>
        <v>0</v>
      </c>
      <c r="O75" s="61">
        <f t="shared" si="31"/>
        <v>0</v>
      </c>
      <c r="P75" s="62">
        <f t="shared" si="29"/>
        <v>0</v>
      </c>
    </row>
    <row r="76" spans="1:16" ht="55.5" customHeight="1" x14ac:dyDescent="0.25">
      <c r="A76" s="4" t="s">
        <v>311</v>
      </c>
      <c r="B76" s="5" t="s">
        <v>24</v>
      </c>
      <c r="C76" s="5" t="s">
        <v>13</v>
      </c>
      <c r="D76" s="5" t="s">
        <v>288</v>
      </c>
      <c r="E76" s="5" t="s">
        <v>45</v>
      </c>
      <c r="F76" s="5" t="s">
        <v>48</v>
      </c>
      <c r="G76" s="5" t="s">
        <v>28</v>
      </c>
      <c r="H76" s="5" t="s">
        <v>290</v>
      </c>
      <c r="I76" s="5" t="s">
        <v>259</v>
      </c>
      <c r="J76" s="6" t="s">
        <v>556</v>
      </c>
      <c r="K76" s="6" t="s">
        <v>557</v>
      </c>
      <c r="L76" s="6" t="s">
        <v>53</v>
      </c>
      <c r="M76" s="63">
        <f>1444000+216581</f>
        <v>1660581</v>
      </c>
      <c r="N76" s="63">
        <v>0</v>
      </c>
      <c r="O76" s="63">
        <v>0</v>
      </c>
      <c r="P76" s="64">
        <f t="shared" si="29"/>
        <v>0</v>
      </c>
    </row>
    <row r="77" spans="1:16" s="35" customFormat="1" ht="31.2" x14ac:dyDescent="0.25">
      <c r="A77" s="37" t="s">
        <v>312</v>
      </c>
      <c r="B77" s="39" t="s">
        <v>0</v>
      </c>
      <c r="C77" s="39" t="s">
        <v>0</v>
      </c>
      <c r="D77" s="39" t="s">
        <v>0</v>
      </c>
      <c r="E77" s="39" t="s">
        <v>0</v>
      </c>
      <c r="F77" s="39" t="s">
        <v>0</v>
      </c>
      <c r="G77" s="39" t="s">
        <v>0</v>
      </c>
      <c r="H77" s="39" t="s">
        <v>0</v>
      </c>
      <c r="I77" s="39" t="s">
        <v>0</v>
      </c>
      <c r="J77" s="39" t="s">
        <v>0</v>
      </c>
      <c r="K77" s="39" t="s">
        <v>0</v>
      </c>
      <c r="L77" s="39" t="s">
        <v>0</v>
      </c>
      <c r="M77" s="61">
        <f>M78</f>
        <v>1358604.5</v>
      </c>
      <c r="N77" s="61">
        <f t="shared" ref="N77:O77" si="32">N78</f>
        <v>1358604.5</v>
      </c>
      <c r="O77" s="61">
        <f t="shared" si="32"/>
        <v>1358604.5</v>
      </c>
      <c r="P77" s="62">
        <f t="shared" si="29"/>
        <v>1</v>
      </c>
    </row>
    <row r="78" spans="1:16" ht="46.8" x14ac:dyDescent="0.25">
      <c r="A78" s="4" t="s">
        <v>313</v>
      </c>
      <c r="B78" s="5" t="s">
        <v>24</v>
      </c>
      <c r="C78" s="5" t="s">
        <v>13</v>
      </c>
      <c r="D78" s="5" t="s">
        <v>288</v>
      </c>
      <c r="E78" s="5" t="s">
        <v>45</v>
      </c>
      <c r="F78" s="5" t="s">
        <v>48</v>
      </c>
      <c r="G78" s="5" t="s">
        <v>28</v>
      </c>
      <c r="H78" s="5" t="s">
        <v>290</v>
      </c>
      <c r="I78" s="5" t="s">
        <v>259</v>
      </c>
      <c r="J78" s="6" t="s">
        <v>274</v>
      </c>
      <c r="K78" s="6">
        <v>1.79</v>
      </c>
      <c r="L78" s="6" t="s">
        <v>53</v>
      </c>
      <c r="M78" s="63">
        <f>1369115-10510.5</f>
        <v>1358604.5</v>
      </c>
      <c r="N78" s="63">
        <v>1358604.5</v>
      </c>
      <c r="O78" s="63">
        <v>1358604.5</v>
      </c>
      <c r="P78" s="64">
        <f t="shared" si="29"/>
        <v>1</v>
      </c>
    </row>
    <row r="79" spans="1:16" s="35" customFormat="1" ht="31.2" x14ac:dyDescent="0.25">
      <c r="A79" s="37" t="s">
        <v>314</v>
      </c>
      <c r="B79" s="39" t="s">
        <v>0</v>
      </c>
      <c r="C79" s="39" t="s">
        <v>0</v>
      </c>
      <c r="D79" s="39" t="s">
        <v>0</v>
      </c>
      <c r="E79" s="39" t="s">
        <v>0</v>
      </c>
      <c r="F79" s="39" t="s">
        <v>0</v>
      </c>
      <c r="G79" s="39" t="s">
        <v>0</v>
      </c>
      <c r="H79" s="39" t="s">
        <v>0</v>
      </c>
      <c r="I79" s="39" t="s">
        <v>0</v>
      </c>
      <c r="J79" s="39" t="s">
        <v>0</v>
      </c>
      <c r="K79" s="39" t="s">
        <v>0</v>
      </c>
      <c r="L79" s="39" t="s">
        <v>0</v>
      </c>
      <c r="M79" s="61">
        <f>M80</f>
        <v>708662</v>
      </c>
      <c r="N79" s="61">
        <f t="shared" ref="N79:O79" si="33">N80</f>
        <v>708662</v>
      </c>
      <c r="O79" s="61">
        <f t="shared" si="33"/>
        <v>708662</v>
      </c>
      <c r="P79" s="62">
        <f t="shared" si="29"/>
        <v>1</v>
      </c>
    </row>
    <row r="80" spans="1:16" ht="54.75" customHeight="1" x14ac:dyDescent="0.25">
      <c r="A80" s="4" t="s">
        <v>466</v>
      </c>
      <c r="B80" s="5" t="s">
        <v>24</v>
      </c>
      <c r="C80" s="5" t="s">
        <v>13</v>
      </c>
      <c r="D80" s="5" t="s">
        <v>288</v>
      </c>
      <c r="E80" s="5" t="s">
        <v>45</v>
      </c>
      <c r="F80" s="5" t="s">
        <v>48</v>
      </c>
      <c r="G80" s="5" t="s">
        <v>28</v>
      </c>
      <c r="H80" s="5" t="s">
        <v>290</v>
      </c>
      <c r="I80" s="5" t="s">
        <v>259</v>
      </c>
      <c r="J80" s="6" t="s">
        <v>274</v>
      </c>
      <c r="K80" s="6">
        <v>0.91900000000000004</v>
      </c>
      <c r="L80" s="6" t="s">
        <v>53</v>
      </c>
      <c r="M80" s="63">
        <f>545000+163662</f>
        <v>708662</v>
      </c>
      <c r="N80" s="63">
        <v>708662</v>
      </c>
      <c r="O80" s="63">
        <v>708662</v>
      </c>
      <c r="P80" s="64">
        <f t="shared" si="29"/>
        <v>1</v>
      </c>
    </row>
    <row r="81" spans="1:16" s="35" customFormat="1" ht="15.6" x14ac:dyDescent="0.25">
      <c r="A81" s="4" t="s">
        <v>459</v>
      </c>
      <c r="B81" s="5" t="s">
        <v>24</v>
      </c>
      <c r="C81" s="5" t="s">
        <v>13</v>
      </c>
      <c r="D81" s="5" t="s">
        <v>288</v>
      </c>
      <c r="E81" s="5" t="s">
        <v>45</v>
      </c>
      <c r="F81" s="5" t="s">
        <v>48</v>
      </c>
      <c r="G81" s="5" t="s">
        <v>28</v>
      </c>
      <c r="H81" s="5" t="s">
        <v>290</v>
      </c>
      <c r="I81" s="5" t="s">
        <v>259</v>
      </c>
      <c r="J81" s="6"/>
      <c r="K81" s="6"/>
      <c r="L81" s="6"/>
      <c r="M81" s="63">
        <f>1067996.5+3281449-3147781.58</f>
        <v>1201663.92</v>
      </c>
      <c r="N81" s="63">
        <v>0</v>
      </c>
      <c r="O81" s="63">
        <v>0</v>
      </c>
      <c r="P81" s="64">
        <f t="shared" si="29"/>
        <v>0</v>
      </c>
    </row>
    <row r="82" spans="1:16" s="35" customFormat="1" ht="46.8" x14ac:dyDescent="0.25">
      <c r="A82" s="37" t="s">
        <v>315</v>
      </c>
      <c r="B82" s="32" t="s">
        <v>24</v>
      </c>
      <c r="C82" s="32" t="s">
        <v>14</v>
      </c>
      <c r="D82" s="32" t="s">
        <v>0</v>
      </c>
      <c r="E82" s="32" t="s">
        <v>0</v>
      </c>
      <c r="F82" s="32" t="s">
        <v>0</v>
      </c>
      <c r="G82" s="32" t="s">
        <v>0</v>
      </c>
      <c r="H82" s="38" t="s">
        <v>0</v>
      </c>
      <c r="I82" s="38" t="s">
        <v>0</v>
      </c>
      <c r="J82" s="38" t="s">
        <v>0</v>
      </c>
      <c r="K82" s="38" t="s">
        <v>0</v>
      </c>
      <c r="L82" s="38" t="s">
        <v>0</v>
      </c>
      <c r="M82" s="61">
        <f t="shared" ref="M82:O87" si="34">M83</f>
        <v>95559873.5</v>
      </c>
      <c r="N82" s="61">
        <f t="shared" si="34"/>
        <v>39282019.310000002</v>
      </c>
      <c r="O82" s="61">
        <f t="shared" si="34"/>
        <v>39282019.310000002</v>
      </c>
      <c r="P82" s="62">
        <f t="shared" si="29"/>
        <v>0.41107232430566165</v>
      </c>
    </row>
    <row r="83" spans="1:16" s="35" customFormat="1" ht="72" customHeight="1" x14ac:dyDescent="0.25">
      <c r="A83" s="37" t="s">
        <v>316</v>
      </c>
      <c r="B83" s="32" t="s">
        <v>24</v>
      </c>
      <c r="C83" s="32" t="s">
        <v>14</v>
      </c>
      <c r="D83" s="32" t="s">
        <v>251</v>
      </c>
      <c r="E83" s="32" t="s">
        <v>0</v>
      </c>
      <c r="F83" s="32" t="s">
        <v>0</v>
      </c>
      <c r="G83" s="32" t="s">
        <v>0</v>
      </c>
      <c r="H83" s="38" t="s">
        <v>0</v>
      </c>
      <c r="I83" s="38" t="s">
        <v>0</v>
      </c>
      <c r="J83" s="38" t="s">
        <v>0</v>
      </c>
      <c r="K83" s="38" t="s">
        <v>0</v>
      </c>
      <c r="L83" s="38" t="s">
        <v>0</v>
      </c>
      <c r="M83" s="61">
        <f t="shared" si="34"/>
        <v>95559873.5</v>
      </c>
      <c r="N83" s="61">
        <f t="shared" si="34"/>
        <v>39282019.310000002</v>
      </c>
      <c r="O83" s="61">
        <f t="shared" si="34"/>
        <v>39282019.310000002</v>
      </c>
      <c r="P83" s="62">
        <f t="shared" si="29"/>
        <v>0.41107232430566165</v>
      </c>
    </row>
    <row r="84" spans="1:16" s="35" customFormat="1" ht="73.5" customHeight="1" x14ac:dyDescent="0.25">
      <c r="A84" s="37" t="s">
        <v>44</v>
      </c>
      <c r="B84" s="32" t="s">
        <v>24</v>
      </c>
      <c r="C84" s="32" t="s">
        <v>14</v>
      </c>
      <c r="D84" s="32" t="s">
        <v>251</v>
      </c>
      <c r="E84" s="32" t="s">
        <v>45</v>
      </c>
      <c r="F84" s="32" t="s">
        <v>0</v>
      </c>
      <c r="G84" s="32" t="s">
        <v>0</v>
      </c>
      <c r="H84" s="38" t="s">
        <v>0</v>
      </c>
      <c r="I84" s="38" t="s">
        <v>0</v>
      </c>
      <c r="J84" s="38" t="s">
        <v>0</v>
      </c>
      <c r="K84" s="38" t="s">
        <v>0</v>
      </c>
      <c r="L84" s="38" t="s">
        <v>0</v>
      </c>
      <c r="M84" s="61">
        <f t="shared" si="34"/>
        <v>95559873.5</v>
      </c>
      <c r="N84" s="61">
        <f t="shared" si="34"/>
        <v>39282019.310000002</v>
      </c>
      <c r="O84" s="61">
        <f t="shared" si="34"/>
        <v>39282019.310000002</v>
      </c>
      <c r="P84" s="62">
        <f t="shared" si="29"/>
        <v>0.41107232430566165</v>
      </c>
    </row>
    <row r="85" spans="1:16" s="35" customFormat="1" ht="15.6" x14ac:dyDescent="0.25">
      <c r="A85" s="36" t="s">
        <v>47</v>
      </c>
      <c r="B85" s="32" t="s">
        <v>24</v>
      </c>
      <c r="C85" s="32" t="s">
        <v>14</v>
      </c>
      <c r="D85" s="32" t="s">
        <v>251</v>
      </c>
      <c r="E85" s="32" t="s">
        <v>45</v>
      </c>
      <c r="F85" s="32" t="s">
        <v>48</v>
      </c>
      <c r="G85" s="32" t="s">
        <v>0</v>
      </c>
      <c r="H85" s="32" t="s">
        <v>0</v>
      </c>
      <c r="I85" s="32" t="s">
        <v>0</v>
      </c>
      <c r="J85" s="32" t="s">
        <v>0</v>
      </c>
      <c r="K85" s="32" t="s">
        <v>0</v>
      </c>
      <c r="L85" s="32" t="s">
        <v>0</v>
      </c>
      <c r="M85" s="61">
        <f t="shared" si="34"/>
        <v>95559873.5</v>
      </c>
      <c r="N85" s="61">
        <f t="shared" si="34"/>
        <v>39282019.310000002</v>
      </c>
      <c r="O85" s="61">
        <f t="shared" si="34"/>
        <v>39282019.310000002</v>
      </c>
      <c r="P85" s="62">
        <f t="shared" si="29"/>
        <v>0.41107232430566165</v>
      </c>
    </row>
    <row r="86" spans="1:16" s="35" customFormat="1" ht="15.6" x14ac:dyDescent="0.25">
      <c r="A86" s="36" t="s">
        <v>49</v>
      </c>
      <c r="B86" s="32" t="s">
        <v>24</v>
      </c>
      <c r="C86" s="32" t="s">
        <v>14</v>
      </c>
      <c r="D86" s="32" t="s">
        <v>251</v>
      </c>
      <c r="E86" s="32" t="s">
        <v>45</v>
      </c>
      <c r="F86" s="32" t="s">
        <v>48</v>
      </c>
      <c r="G86" s="32" t="s">
        <v>28</v>
      </c>
      <c r="H86" s="32" t="s">
        <v>0</v>
      </c>
      <c r="I86" s="32" t="s">
        <v>0</v>
      </c>
      <c r="J86" s="32" t="s">
        <v>0</v>
      </c>
      <c r="K86" s="32" t="s">
        <v>0</v>
      </c>
      <c r="L86" s="32" t="s">
        <v>0</v>
      </c>
      <c r="M86" s="61">
        <f t="shared" si="34"/>
        <v>95559873.5</v>
      </c>
      <c r="N86" s="61">
        <f t="shared" si="34"/>
        <v>39282019.310000002</v>
      </c>
      <c r="O86" s="61">
        <f t="shared" si="34"/>
        <v>39282019.310000002</v>
      </c>
      <c r="P86" s="62">
        <f t="shared" si="29"/>
        <v>0.41107232430566165</v>
      </c>
    </row>
    <row r="87" spans="1:16" s="35" customFormat="1" ht="46.8" x14ac:dyDescent="0.25">
      <c r="A87" s="37" t="s">
        <v>289</v>
      </c>
      <c r="B87" s="32" t="s">
        <v>24</v>
      </c>
      <c r="C87" s="32" t="s">
        <v>14</v>
      </c>
      <c r="D87" s="32" t="s">
        <v>251</v>
      </c>
      <c r="E87" s="32" t="s">
        <v>45</v>
      </c>
      <c r="F87" s="32" t="s">
        <v>48</v>
      </c>
      <c r="G87" s="32" t="s">
        <v>28</v>
      </c>
      <c r="H87" s="32" t="s">
        <v>290</v>
      </c>
      <c r="I87" s="38" t="s">
        <v>0</v>
      </c>
      <c r="J87" s="38" t="s">
        <v>0</v>
      </c>
      <c r="K87" s="38" t="s">
        <v>0</v>
      </c>
      <c r="L87" s="38" t="s">
        <v>0</v>
      </c>
      <c r="M87" s="61">
        <f t="shared" si="34"/>
        <v>95559873.5</v>
      </c>
      <c r="N87" s="61">
        <f t="shared" si="34"/>
        <v>39282019.310000002</v>
      </c>
      <c r="O87" s="61">
        <f t="shared" si="34"/>
        <v>39282019.310000002</v>
      </c>
      <c r="P87" s="62">
        <f t="shared" si="29"/>
        <v>0.41107232430566165</v>
      </c>
    </row>
    <row r="88" spans="1:16" s="35" customFormat="1" ht="62.4" x14ac:dyDescent="0.25">
      <c r="A88" s="37" t="s">
        <v>258</v>
      </c>
      <c r="B88" s="32" t="s">
        <v>24</v>
      </c>
      <c r="C88" s="32" t="s">
        <v>14</v>
      </c>
      <c r="D88" s="32" t="s">
        <v>251</v>
      </c>
      <c r="E88" s="32" t="s">
        <v>45</v>
      </c>
      <c r="F88" s="32" t="s">
        <v>48</v>
      </c>
      <c r="G88" s="32" t="s">
        <v>28</v>
      </c>
      <c r="H88" s="32" t="s">
        <v>290</v>
      </c>
      <c r="I88" s="32" t="s">
        <v>259</v>
      </c>
      <c r="J88" s="32" t="s">
        <v>0</v>
      </c>
      <c r="K88" s="32" t="s">
        <v>0</v>
      </c>
      <c r="L88" s="32" t="s">
        <v>0</v>
      </c>
      <c r="M88" s="61">
        <f>M89+M91</f>
        <v>95559873.5</v>
      </c>
      <c r="N88" s="61">
        <f t="shared" ref="N88:O88" si="35">N89+N91</f>
        <v>39282019.310000002</v>
      </c>
      <c r="O88" s="61">
        <f t="shared" si="35"/>
        <v>39282019.310000002</v>
      </c>
      <c r="P88" s="62">
        <f t="shared" si="29"/>
        <v>0.41107232430566165</v>
      </c>
    </row>
    <row r="89" spans="1:16" s="35" customFormat="1" ht="31.2" x14ac:dyDescent="0.25">
      <c r="A89" s="37" t="s">
        <v>321</v>
      </c>
      <c r="B89" s="39" t="s">
        <v>0</v>
      </c>
      <c r="C89" s="39" t="s">
        <v>0</v>
      </c>
      <c r="D89" s="39" t="s">
        <v>0</v>
      </c>
      <c r="E89" s="39" t="s">
        <v>0</v>
      </c>
      <c r="F89" s="39" t="s">
        <v>0</v>
      </c>
      <c r="G89" s="39" t="s">
        <v>0</v>
      </c>
      <c r="H89" s="39" t="s">
        <v>0</v>
      </c>
      <c r="I89" s="39" t="s">
        <v>0</v>
      </c>
      <c r="J89" s="39" t="s">
        <v>0</v>
      </c>
      <c r="K89" s="39" t="s">
        <v>0</v>
      </c>
      <c r="L89" s="39" t="s">
        <v>0</v>
      </c>
      <c r="M89" s="61">
        <f>M90</f>
        <v>70000000</v>
      </c>
      <c r="N89" s="61">
        <f t="shared" ref="N89:O89" si="36">N90</f>
        <v>14914937.310000001</v>
      </c>
      <c r="O89" s="61">
        <f t="shared" si="36"/>
        <v>14914937.310000001</v>
      </c>
      <c r="P89" s="62">
        <f t="shared" si="29"/>
        <v>0.21307053300000001</v>
      </c>
    </row>
    <row r="90" spans="1:16" ht="31.2" x14ac:dyDescent="0.25">
      <c r="A90" s="4" t="s">
        <v>322</v>
      </c>
      <c r="B90" s="5" t="s">
        <v>24</v>
      </c>
      <c r="C90" s="5" t="s">
        <v>14</v>
      </c>
      <c r="D90" s="5" t="s">
        <v>251</v>
      </c>
      <c r="E90" s="5" t="s">
        <v>45</v>
      </c>
      <c r="F90" s="5" t="s">
        <v>48</v>
      </c>
      <c r="G90" s="5" t="s">
        <v>28</v>
      </c>
      <c r="H90" s="5" t="s">
        <v>290</v>
      </c>
      <c r="I90" s="5" t="s">
        <v>259</v>
      </c>
      <c r="J90" s="6" t="s">
        <v>318</v>
      </c>
      <c r="K90" s="6" t="s">
        <v>323</v>
      </c>
      <c r="L90" s="6" t="s">
        <v>53</v>
      </c>
      <c r="M90" s="63">
        <v>70000000</v>
      </c>
      <c r="N90" s="63">
        <v>14914937.310000001</v>
      </c>
      <c r="O90" s="63">
        <v>14914937.310000001</v>
      </c>
      <c r="P90" s="64">
        <f t="shared" si="29"/>
        <v>0.21307053300000001</v>
      </c>
    </row>
    <row r="91" spans="1:16" s="35" customFormat="1" ht="31.2" x14ac:dyDescent="0.25">
      <c r="A91" s="37" t="s">
        <v>461</v>
      </c>
      <c r="B91" s="39" t="s">
        <v>0</v>
      </c>
      <c r="C91" s="39" t="s">
        <v>0</v>
      </c>
      <c r="D91" s="39" t="s">
        <v>0</v>
      </c>
      <c r="E91" s="39" t="s">
        <v>0</v>
      </c>
      <c r="F91" s="39" t="s">
        <v>0</v>
      </c>
      <c r="G91" s="39" t="s">
        <v>0</v>
      </c>
      <c r="H91" s="39" t="s">
        <v>0</v>
      </c>
      <c r="I91" s="39" t="s">
        <v>0</v>
      </c>
      <c r="J91" s="39" t="s">
        <v>0</v>
      </c>
      <c r="K91" s="39" t="s">
        <v>0</v>
      </c>
      <c r="L91" s="39" t="s">
        <v>0</v>
      </c>
      <c r="M91" s="61">
        <f>M92</f>
        <v>25559873.5</v>
      </c>
      <c r="N91" s="61">
        <f t="shared" ref="N91:O91" si="37">N92</f>
        <v>24367082</v>
      </c>
      <c r="O91" s="61">
        <f t="shared" si="37"/>
        <v>24367082</v>
      </c>
      <c r="P91" s="62">
        <f t="shared" si="29"/>
        <v>0.95333343492486378</v>
      </c>
    </row>
    <row r="92" spans="1:16" ht="31.2" x14ac:dyDescent="0.25">
      <c r="A92" s="4" t="s">
        <v>319</v>
      </c>
      <c r="B92" s="5" t="s">
        <v>24</v>
      </c>
      <c r="C92" s="5" t="s">
        <v>14</v>
      </c>
      <c r="D92" s="5" t="s">
        <v>251</v>
      </c>
      <c r="E92" s="5" t="s">
        <v>45</v>
      </c>
      <c r="F92" s="5" t="s">
        <v>48</v>
      </c>
      <c r="G92" s="5" t="s">
        <v>28</v>
      </c>
      <c r="H92" s="5" t="s">
        <v>290</v>
      </c>
      <c r="I92" s="5" t="s">
        <v>259</v>
      </c>
      <c r="J92" s="6" t="s">
        <v>320</v>
      </c>
      <c r="K92" s="6">
        <v>400</v>
      </c>
      <c r="L92" s="6" t="s">
        <v>53</v>
      </c>
      <c r="M92" s="63">
        <v>25559873.5</v>
      </c>
      <c r="N92" s="63">
        <v>24367082</v>
      </c>
      <c r="O92" s="63">
        <v>24367082</v>
      </c>
      <c r="P92" s="64">
        <f t="shared" si="29"/>
        <v>0.95333343492486378</v>
      </c>
    </row>
    <row r="93" spans="1:16" s="35" customFormat="1" ht="32.25" customHeight="1" x14ac:dyDescent="0.25">
      <c r="A93" s="37" t="s">
        <v>135</v>
      </c>
      <c r="B93" s="32" t="s">
        <v>136</v>
      </c>
      <c r="C93" s="32" t="s">
        <v>0</v>
      </c>
      <c r="D93" s="32" t="s">
        <v>0</v>
      </c>
      <c r="E93" s="32" t="s">
        <v>0</v>
      </c>
      <c r="F93" s="32" t="s">
        <v>0</v>
      </c>
      <c r="G93" s="32" t="s">
        <v>0</v>
      </c>
      <c r="H93" s="38" t="s">
        <v>0</v>
      </c>
      <c r="I93" s="38" t="s">
        <v>0</v>
      </c>
      <c r="J93" s="38" t="s">
        <v>0</v>
      </c>
      <c r="K93" s="38" t="s">
        <v>0</v>
      </c>
      <c r="L93" s="38" t="s">
        <v>0</v>
      </c>
      <c r="M93" s="61">
        <f>M94+M113</f>
        <v>741145042.58000004</v>
      </c>
      <c r="N93" s="61">
        <f t="shared" ref="N93:O93" si="38">N94+N113</f>
        <v>674004664.53999996</v>
      </c>
      <c r="O93" s="61">
        <f t="shared" si="38"/>
        <v>674004664.53999996</v>
      </c>
      <c r="P93" s="62">
        <f t="shared" si="29"/>
        <v>0.90940993438169981</v>
      </c>
    </row>
    <row r="94" spans="1:16" s="35" customFormat="1" ht="32.25" customHeight="1" x14ac:dyDescent="0.25">
      <c r="A94" s="37" t="s">
        <v>137</v>
      </c>
      <c r="B94" s="32" t="s">
        <v>136</v>
      </c>
      <c r="C94" s="32" t="s">
        <v>30</v>
      </c>
      <c r="D94" s="32" t="s">
        <v>61</v>
      </c>
      <c r="E94" s="32" t="s">
        <v>0</v>
      </c>
      <c r="F94" s="32" t="s">
        <v>0</v>
      </c>
      <c r="G94" s="32" t="s">
        <v>0</v>
      </c>
      <c r="H94" s="38" t="s">
        <v>0</v>
      </c>
      <c r="I94" s="38" t="s">
        <v>0</v>
      </c>
      <c r="J94" s="38" t="s">
        <v>0</v>
      </c>
      <c r="K94" s="38" t="s">
        <v>0</v>
      </c>
      <c r="L94" s="38" t="s">
        <v>0</v>
      </c>
      <c r="M94" s="61">
        <f>M95</f>
        <v>129436764.59</v>
      </c>
      <c r="N94" s="61">
        <f t="shared" ref="N94:O95" si="39">N95</f>
        <v>124649694.99000001</v>
      </c>
      <c r="O94" s="61">
        <f t="shared" si="39"/>
        <v>124649694.99000001</v>
      </c>
      <c r="P94" s="62">
        <f t="shared" si="29"/>
        <v>0.96301615221020576</v>
      </c>
    </row>
    <row r="95" spans="1:16" s="35" customFormat="1" ht="32.25" customHeight="1" x14ac:dyDescent="0.25">
      <c r="A95" s="37" t="s">
        <v>31</v>
      </c>
      <c r="B95" s="32" t="s">
        <v>136</v>
      </c>
      <c r="C95" s="32" t="s">
        <v>30</v>
      </c>
      <c r="D95" s="32" t="s">
        <v>61</v>
      </c>
      <c r="E95" s="32" t="s">
        <v>32</v>
      </c>
      <c r="F95" s="32" t="s">
        <v>0</v>
      </c>
      <c r="G95" s="32" t="s">
        <v>0</v>
      </c>
      <c r="H95" s="38" t="s">
        <v>0</v>
      </c>
      <c r="I95" s="38" t="s">
        <v>0</v>
      </c>
      <c r="J95" s="38" t="s">
        <v>0</v>
      </c>
      <c r="K95" s="38" t="s">
        <v>0</v>
      </c>
      <c r="L95" s="38" t="s">
        <v>0</v>
      </c>
      <c r="M95" s="61">
        <f>M96</f>
        <v>129436764.59</v>
      </c>
      <c r="N95" s="61">
        <f t="shared" si="39"/>
        <v>124649694.99000001</v>
      </c>
      <c r="O95" s="61">
        <f t="shared" si="39"/>
        <v>124649694.99000001</v>
      </c>
      <c r="P95" s="62">
        <f t="shared" si="29"/>
        <v>0.96301615221020576</v>
      </c>
    </row>
    <row r="96" spans="1:16" s="35" customFormat="1" ht="15" customHeight="1" x14ac:dyDescent="0.25">
      <c r="A96" s="36" t="s">
        <v>138</v>
      </c>
      <c r="B96" s="32" t="s">
        <v>136</v>
      </c>
      <c r="C96" s="32" t="s">
        <v>30</v>
      </c>
      <c r="D96" s="32" t="s">
        <v>61</v>
      </c>
      <c r="E96" s="32" t="s">
        <v>32</v>
      </c>
      <c r="F96" s="32" t="s">
        <v>139</v>
      </c>
      <c r="G96" s="32" t="s">
        <v>0</v>
      </c>
      <c r="H96" s="32" t="s">
        <v>0</v>
      </c>
      <c r="I96" s="32" t="s">
        <v>0</v>
      </c>
      <c r="J96" s="32" t="s">
        <v>0</v>
      </c>
      <c r="K96" s="32" t="s">
        <v>0</v>
      </c>
      <c r="L96" s="32" t="s">
        <v>0</v>
      </c>
      <c r="M96" s="61">
        <f>M97+M107</f>
        <v>129436764.59</v>
      </c>
      <c r="N96" s="61">
        <f t="shared" ref="N96:O96" si="40">N97+N107</f>
        <v>124649694.99000001</v>
      </c>
      <c r="O96" s="61">
        <f t="shared" si="40"/>
        <v>124649694.99000001</v>
      </c>
      <c r="P96" s="62">
        <f t="shared" si="29"/>
        <v>0.96301615221020576</v>
      </c>
    </row>
    <row r="97" spans="1:16" s="35" customFormat="1" ht="15" customHeight="1" x14ac:dyDescent="0.25">
      <c r="A97" s="36" t="s">
        <v>331</v>
      </c>
      <c r="B97" s="32" t="s">
        <v>136</v>
      </c>
      <c r="C97" s="32" t="s">
        <v>30</v>
      </c>
      <c r="D97" s="32" t="s">
        <v>61</v>
      </c>
      <c r="E97" s="32" t="s">
        <v>32</v>
      </c>
      <c r="F97" s="32" t="s">
        <v>139</v>
      </c>
      <c r="G97" s="32" t="s">
        <v>71</v>
      </c>
      <c r="H97" s="32" t="s">
        <v>0</v>
      </c>
      <c r="I97" s="32" t="s">
        <v>0</v>
      </c>
      <c r="J97" s="32" t="s">
        <v>0</v>
      </c>
      <c r="K97" s="32" t="s">
        <v>0</v>
      </c>
      <c r="L97" s="32" t="s">
        <v>0</v>
      </c>
      <c r="M97" s="61">
        <f>M98</f>
        <v>75675326.090000004</v>
      </c>
      <c r="N97" s="61">
        <f t="shared" ref="N97:O98" si="41">N98</f>
        <v>75675326.090000004</v>
      </c>
      <c r="O97" s="61">
        <f t="shared" si="41"/>
        <v>75675326.090000004</v>
      </c>
      <c r="P97" s="62">
        <f t="shared" si="29"/>
        <v>1</v>
      </c>
    </row>
    <row r="98" spans="1:16" s="35" customFormat="1" ht="140.1" customHeight="1" x14ac:dyDescent="0.25">
      <c r="A98" s="37" t="s">
        <v>508</v>
      </c>
      <c r="B98" s="32" t="s">
        <v>136</v>
      </c>
      <c r="C98" s="32" t="s">
        <v>30</v>
      </c>
      <c r="D98" s="32" t="s">
        <v>61</v>
      </c>
      <c r="E98" s="32" t="s">
        <v>32</v>
      </c>
      <c r="F98" s="32" t="s">
        <v>139</v>
      </c>
      <c r="G98" s="32" t="s">
        <v>71</v>
      </c>
      <c r="H98" s="32" t="s">
        <v>507</v>
      </c>
      <c r="I98" s="38" t="s">
        <v>0</v>
      </c>
      <c r="J98" s="38" t="s">
        <v>0</v>
      </c>
      <c r="K98" s="38" t="s">
        <v>0</v>
      </c>
      <c r="L98" s="38" t="s">
        <v>0</v>
      </c>
      <c r="M98" s="61">
        <f>M99</f>
        <v>75675326.090000004</v>
      </c>
      <c r="N98" s="61">
        <f t="shared" si="41"/>
        <v>75675326.090000004</v>
      </c>
      <c r="O98" s="61">
        <f t="shared" si="41"/>
        <v>75675326.090000004</v>
      </c>
      <c r="P98" s="62">
        <f t="shared" si="29"/>
        <v>1</v>
      </c>
    </row>
    <row r="99" spans="1:16" s="35" customFormat="1" ht="30" customHeight="1" x14ac:dyDescent="0.25">
      <c r="A99" s="37" t="s">
        <v>334</v>
      </c>
      <c r="B99" s="32" t="s">
        <v>136</v>
      </c>
      <c r="C99" s="32" t="s">
        <v>30</v>
      </c>
      <c r="D99" s="32" t="s">
        <v>61</v>
      </c>
      <c r="E99" s="32" t="s">
        <v>32</v>
      </c>
      <c r="F99" s="32" t="s">
        <v>139</v>
      </c>
      <c r="G99" s="32" t="s">
        <v>71</v>
      </c>
      <c r="H99" s="32" t="s">
        <v>507</v>
      </c>
      <c r="I99" s="32" t="s">
        <v>335</v>
      </c>
      <c r="J99" s="32" t="s">
        <v>0</v>
      </c>
      <c r="K99" s="32" t="s">
        <v>0</v>
      </c>
      <c r="L99" s="32" t="s">
        <v>0</v>
      </c>
      <c r="M99" s="61">
        <f>M100+M103+M105</f>
        <v>75675326.090000004</v>
      </c>
      <c r="N99" s="61">
        <f t="shared" ref="N99:O99" si="42">N100+N103+N105</f>
        <v>75675326.090000004</v>
      </c>
      <c r="O99" s="61">
        <f t="shared" si="42"/>
        <v>75675326.090000004</v>
      </c>
      <c r="P99" s="62">
        <f t="shared" si="29"/>
        <v>1</v>
      </c>
    </row>
    <row r="100" spans="1:16" s="35" customFormat="1" ht="15" customHeight="1" x14ac:dyDescent="0.25">
      <c r="A100" s="37" t="s">
        <v>336</v>
      </c>
      <c r="B100" s="39" t="s">
        <v>0</v>
      </c>
      <c r="C100" s="39" t="s">
        <v>0</v>
      </c>
      <c r="D100" s="39" t="s">
        <v>0</v>
      </c>
      <c r="E100" s="39" t="s">
        <v>0</v>
      </c>
      <c r="F100" s="39" t="s">
        <v>0</v>
      </c>
      <c r="G100" s="39" t="s">
        <v>0</v>
      </c>
      <c r="H100" s="39" t="s">
        <v>0</v>
      </c>
      <c r="I100" s="39" t="s">
        <v>0</v>
      </c>
      <c r="J100" s="39" t="s">
        <v>0</v>
      </c>
      <c r="K100" s="39" t="s">
        <v>0</v>
      </c>
      <c r="L100" s="39" t="s">
        <v>0</v>
      </c>
      <c r="M100" s="61">
        <f>M101+M102</f>
        <v>27763527.479999997</v>
      </c>
      <c r="N100" s="61">
        <f t="shared" ref="N100:O100" si="43">N101+N102</f>
        <v>27763527.479999997</v>
      </c>
      <c r="O100" s="61">
        <f t="shared" si="43"/>
        <v>27763527.479999997</v>
      </c>
      <c r="P100" s="62">
        <f t="shared" si="29"/>
        <v>1</v>
      </c>
    </row>
    <row r="101" spans="1:16" ht="32.25" customHeight="1" x14ac:dyDescent="0.25">
      <c r="A101" s="4" t="s">
        <v>344</v>
      </c>
      <c r="B101" s="5" t="s">
        <v>136</v>
      </c>
      <c r="C101" s="5" t="s">
        <v>30</v>
      </c>
      <c r="D101" s="5" t="s">
        <v>61</v>
      </c>
      <c r="E101" s="5" t="s">
        <v>32</v>
      </c>
      <c r="F101" s="5" t="s">
        <v>139</v>
      </c>
      <c r="G101" s="5" t="s">
        <v>71</v>
      </c>
      <c r="H101" s="5" t="s">
        <v>507</v>
      </c>
      <c r="I101" s="5" t="s">
        <v>335</v>
      </c>
      <c r="J101" s="6" t="s">
        <v>73</v>
      </c>
      <c r="K101" s="6" t="s">
        <v>78</v>
      </c>
      <c r="L101" s="6" t="s">
        <v>53</v>
      </c>
      <c r="M101" s="63">
        <v>25562940.829999998</v>
      </c>
      <c r="N101" s="63">
        <v>25562940.829999998</v>
      </c>
      <c r="O101" s="63">
        <v>25562940.829999998</v>
      </c>
      <c r="P101" s="64">
        <f t="shared" si="29"/>
        <v>1</v>
      </c>
    </row>
    <row r="102" spans="1:16" ht="60" customHeight="1" x14ac:dyDescent="0.25">
      <c r="A102" s="4" t="s">
        <v>345</v>
      </c>
      <c r="B102" s="5" t="s">
        <v>136</v>
      </c>
      <c r="C102" s="5" t="s">
        <v>30</v>
      </c>
      <c r="D102" s="5" t="s">
        <v>61</v>
      </c>
      <c r="E102" s="5" t="s">
        <v>32</v>
      </c>
      <c r="F102" s="5" t="s">
        <v>139</v>
      </c>
      <c r="G102" s="5" t="s">
        <v>71</v>
      </c>
      <c r="H102" s="5" t="s">
        <v>507</v>
      </c>
      <c r="I102" s="5" t="s">
        <v>335</v>
      </c>
      <c r="J102" s="6" t="s">
        <v>73</v>
      </c>
      <c r="K102" s="6" t="s">
        <v>340</v>
      </c>
      <c r="L102" s="6" t="s">
        <v>53</v>
      </c>
      <c r="M102" s="63">
        <v>2200586.65</v>
      </c>
      <c r="N102" s="63">
        <v>2200586.65</v>
      </c>
      <c r="O102" s="63">
        <v>2200586.65</v>
      </c>
      <c r="P102" s="64">
        <f t="shared" si="29"/>
        <v>1</v>
      </c>
    </row>
    <row r="103" spans="1:16" s="35" customFormat="1" ht="15" customHeight="1" x14ac:dyDescent="0.25">
      <c r="A103" s="37" t="s">
        <v>293</v>
      </c>
      <c r="B103" s="39" t="s">
        <v>0</v>
      </c>
      <c r="C103" s="39" t="s">
        <v>0</v>
      </c>
      <c r="D103" s="39" t="s">
        <v>0</v>
      </c>
      <c r="E103" s="39" t="s">
        <v>0</v>
      </c>
      <c r="F103" s="39" t="s">
        <v>0</v>
      </c>
      <c r="G103" s="39" t="s">
        <v>0</v>
      </c>
      <c r="H103" s="39" t="s">
        <v>0</v>
      </c>
      <c r="I103" s="39" t="s">
        <v>0</v>
      </c>
      <c r="J103" s="39" t="s">
        <v>0</v>
      </c>
      <c r="K103" s="39" t="s">
        <v>0</v>
      </c>
      <c r="L103" s="39" t="s">
        <v>0</v>
      </c>
      <c r="M103" s="61">
        <f>M104</f>
        <v>11264265.15</v>
      </c>
      <c r="N103" s="61">
        <f t="shared" ref="N103:O103" si="44">N104</f>
        <v>11264265.15</v>
      </c>
      <c r="O103" s="61">
        <f t="shared" si="44"/>
        <v>11264265.15</v>
      </c>
      <c r="P103" s="62">
        <f t="shared" si="29"/>
        <v>1</v>
      </c>
    </row>
    <row r="104" spans="1:16" ht="69.900000000000006" customHeight="1" x14ac:dyDescent="0.25">
      <c r="A104" s="4" t="s">
        <v>350</v>
      </c>
      <c r="B104" s="5" t="s">
        <v>136</v>
      </c>
      <c r="C104" s="5" t="s">
        <v>30</v>
      </c>
      <c r="D104" s="5" t="s">
        <v>61</v>
      </c>
      <c r="E104" s="5" t="s">
        <v>32</v>
      </c>
      <c r="F104" s="5" t="s">
        <v>139</v>
      </c>
      <c r="G104" s="5" t="s">
        <v>71</v>
      </c>
      <c r="H104" s="5" t="s">
        <v>507</v>
      </c>
      <c r="I104" s="5" t="s">
        <v>335</v>
      </c>
      <c r="J104" s="6" t="s">
        <v>73</v>
      </c>
      <c r="K104" s="6" t="s">
        <v>338</v>
      </c>
      <c r="L104" s="6" t="s">
        <v>53</v>
      </c>
      <c r="M104" s="63">
        <f>11264195.76+63.84+5.55</f>
        <v>11264265.15</v>
      </c>
      <c r="N104" s="63">
        <f>11264195.76+63.84+5.55</f>
        <v>11264265.15</v>
      </c>
      <c r="O104" s="63">
        <f>11264195.76+63.84+5.55</f>
        <v>11264265.15</v>
      </c>
      <c r="P104" s="64">
        <f t="shared" si="29"/>
        <v>1</v>
      </c>
    </row>
    <row r="105" spans="1:16" s="35" customFormat="1" ht="15" customHeight="1" x14ac:dyDescent="0.25">
      <c r="A105" s="37" t="s">
        <v>306</v>
      </c>
      <c r="B105" s="39" t="s">
        <v>0</v>
      </c>
      <c r="C105" s="39" t="s">
        <v>0</v>
      </c>
      <c r="D105" s="39" t="s">
        <v>0</v>
      </c>
      <c r="E105" s="39" t="s">
        <v>0</v>
      </c>
      <c r="F105" s="39" t="s">
        <v>0</v>
      </c>
      <c r="G105" s="39" t="s">
        <v>0</v>
      </c>
      <c r="H105" s="39" t="s">
        <v>0</v>
      </c>
      <c r="I105" s="39" t="s">
        <v>0</v>
      </c>
      <c r="J105" s="39" t="s">
        <v>0</v>
      </c>
      <c r="K105" s="39" t="s">
        <v>0</v>
      </c>
      <c r="L105" s="39" t="s">
        <v>0</v>
      </c>
      <c r="M105" s="61">
        <f>M106</f>
        <v>36647533.460000001</v>
      </c>
      <c r="N105" s="61">
        <f t="shared" ref="N105:O105" si="45">N106</f>
        <v>36647533.460000001</v>
      </c>
      <c r="O105" s="61">
        <f t="shared" si="45"/>
        <v>36647533.460000001</v>
      </c>
      <c r="P105" s="62">
        <f t="shared" si="29"/>
        <v>1</v>
      </c>
    </row>
    <row r="106" spans="1:16" ht="60" customHeight="1" x14ac:dyDescent="0.25">
      <c r="A106" s="4" t="s">
        <v>351</v>
      </c>
      <c r="B106" s="5" t="s">
        <v>136</v>
      </c>
      <c r="C106" s="5" t="s">
        <v>30</v>
      </c>
      <c r="D106" s="5" t="s">
        <v>61</v>
      </c>
      <c r="E106" s="5" t="s">
        <v>32</v>
      </c>
      <c r="F106" s="5" t="s">
        <v>139</v>
      </c>
      <c r="G106" s="5" t="s">
        <v>71</v>
      </c>
      <c r="H106" s="5" t="s">
        <v>507</v>
      </c>
      <c r="I106" s="5" t="s">
        <v>335</v>
      </c>
      <c r="J106" s="6" t="s">
        <v>73</v>
      </c>
      <c r="K106" s="6" t="s">
        <v>338</v>
      </c>
      <c r="L106" s="6" t="s">
        <v>53</v>
      </c>
      <c r="M106" s="63">
        <v>36647533.460000001</v>
      </c>
      <c r="N106" s="63">
        <v>36647533.460000001</v>
      </c>
      <c r="O106" s="63">
        <v>36647533.460000001</v>
      </c>
      <c r="P106" s="64">
        <f t="shared" si="29"/>
        <v>1</v>
      </c>
    </row>
    <row r="107" spans="1:16" s="35" customFormat="1" ht="15" customHeight="1" x14ac:dyDescent="0.25">
      <c r="A107" s="36" t="s">
        <v>143</v>
      </c>
      <c r="B107" s="32" t="s">
        <v>136</v>
      </c>
      <c r="C107" s="32" t="s">
        <v>30</v>
      </c>
      <c r="D107" s="32" t="s">
        <v>61</v>
      </c>
      <c r="E107" s="32" t="s">
        <v>32</v>
      </c>
      <c r="F107" s="32" t="s">
        <v>139</v>
      </c>
      <c r="G107" s="32" t="s">
        <v>28</v>
      </c>
      <c r="H107" s="32" t="s">
        <v>0</v>
      </c>
      <c r="I107" s="32" t="s">
        <v>0</v>
      </c>
      <c r="J107" s="32" t="s">
        <v>0</v>
      </c>
      <c r="K107" s="32" t="s">
        <v>0</v>
      </c>
      <c r="L107" s="32" t="s">
        <v>0</v>
      </c>
      <c r="M107" s="61">
        <f>M108</f>
        <v>53761438.5</v>
      </c>
      <c r="N107" s="61">
        <f t="shared" ref="N107:O109" si="46">N108</f>
        <v>48974368.899999999</v>
      </c>
      <c r="O107" s="61">
        <f t="shared" si="46"/>
        <v>48974368.899999999</v>
      </c>
      <c r="P107" s="62">
        <f t="shared" si="29"/>
        <v>0.91095718913845658</v>
      </c>
    </row>
    <row r="108" spans="1:16" s="35" customFormat="1" ht="48.9" customHeight="1" x14ac:dyDescent="0.25">
      <c r="A108" s="37" t="s">
        <v>289</v>
      </c>
      <c r="B108" s="32" t="s">
        <v>136</v>
      </c>
      <c r="C108" s="32" t="s">
        <v>30</v>
      </c>
      <c r="D108" s="32" t="s">
        <v>61</v>
      </c>
      <c r="E108" s="32" t="s">
        <v>32</v>
      </c>
      <c r="F108" s="32" t="s">
        <v>139</v>
      </c>
      <c r="G108" s="32" t="s">
        <v>28</v>
      </c>
      <c r="H108" s="32" t="s">
        <v>290</v>
      </c>
      <c r="I108" s="38" t="s">
        <v>0</v>
      </c>
      <c r="J108" s="38" t="s">
        <v>0</v>
      </c>
      <c r="K108" s="38" t="s">
        <v>0</v>
      </c>
      <c r="L108" s="38" t="s">
        <v>0</v>
      </c>
      <c r="M108" s="61">
        <f>M109</f>
        <v>53761438.5</v>
      </c>
      <c r="N108" s="61">
        <f t="shared" si="46"/>
        <v>48974368.899999999</v>
      </c>
      <c r="O108" s="61">
        <f t="shared" si="46"/>
        <v>48974368.899999999</v>
      </c>
      <c r="P108" s="62">
        <f t="shared" si="29"/>
        <v>0.91095718913845658</v>
      </c>
    </row>
    <row r="109" spans="1:16" s="35" customFormat="1" ht="64.5" customHeight="1" x14ac:dyDescent="0.25">
      <c r="A109" s="37" t="s">
        <v>258</v>
      </c>
      <c r="B109" s="32" t="s">
        <v>136</v>
      </c>
      <c r="C109" s="32" t="s">
        <v>30</v>
      </c>
      <c r="D109" s="32" t="s">
        <v>61</v>
      </c>
      <c r="E109" s="32" t="s">
        <v>32</v>
      </c>
      <c r="F109" s="32" t="s">
        <v>139</v>
      </c>
      <c r="G109" s="32" t="s">
        <v>28</v>
      </c>
      <c r="H109" s="32" t="s">
        <v>290</v>
      </c>
      <c r="I109" s="32" t="s">
        <v>259</v>
      </c>
      <c r="J109" s="32" t="s">
        <v>0</v>
      </c>
      <c r="K109" s="32" t="s">
        <v>0</v>
      </c>
      <c r="L109" s="32" t="s">
        <v>0</v>
      </c>
      <c r="M109" s="61">
        <f>M110</f>
        <v>53761438.5</v>
      </c>
      <c r="N109" s="61">
        <f t="shared" si="46"/>
        <v>48974368.899999999</v>
      </c>
      <c r="O109" s="61">
        <f t="shared" si="46"/>
        <v>48974368.899999999</v>
      </c>
      <c r="P109" s="62">
        <f t="shared" si="29"/>
        <v>0.91095718913845658</v>
      </c>
    </row>
    <row r="110" spans="1:16" s="35" customFormat="1" ht="15" customHeight="1" x14ac:dyDescent="0.25">
      <c r="A110" s="37" t="s">
        <v>325</v>
      </c>
      <c r="B110" s="39" t="s">
        <v>0</v>
      </c>
      <c r="C110" s="39" t="s">
        <v>0</v>
      </c>
      <c r="D110" s="39" t="s">
        <v>0</v>
      </c>
      <c r="E110" s="39" t="s">
        <v>0</v>
      </c>
      <c r="F110" s="39" t="s">
        <v>0</v>
      </c>
      <c r="G110" s="39" t="s">
        <v>0</v>
      </c>
      <c r="H110" s="39" t="s">
        <v>0</v>
      </c>
      <c r="I110" s="39" t="s">
        <v>0</v>
      </c>
      <c r="J110" s="39" t="s">
        <v>0</v>
      </c>
      <c r="K110" s="39" t="s">
        <v>0</v>
      </c>
      <c r="L110" s="39" t="s">
        <v>0</v>
      </c>
      <c r="M110" s="61">
        <f>M111+M112</f>
        <v>53761438.5</v>
      </c>
      <c r="N110" s="61">
        <f t="shared" ref="N110:O110" si="47">N111+N112</f>
        <v>48974368.899999999</v>
      </c>
      <c r="O110" s="61">
        <f t="shared" si="47"/>
        <v>48974368.899999999</v>
      </c>
      <c r="P110" s="62">
        <f t="shared" si="29"/>
        <v>0.91095718913845658</v>
      </c>
    </row>
    <row r="111" spans="1:16" ht="35.1" customHeight="1" x14ac:dyDescent="0.25">
      <c r="A111" s="4" t="s">
        <v>326</v>
      </c>
      <c r="B111" s="5" t="s">
        <v>136</v>
      </c>
      <c r="C111" s="5" t="s">
        <v>30</v>
      </c>
      <c r="D111" s="5" t="s">
        <v>61</v>
      </c>
      <c r="E111" s="5" t="s">
        <v>32</v>
      </c>
      <c r="F111" s="5" t="s">
        <v>139</v>
      </c>
      <c r="G111" s="5" t="s">
        <v>28</v>
      </c>
      <c r="H111" s="5" t="s">
        <v>290</v>
      </c>
      <c r="I111" s="5" t="s">
        <v>259</v>
      </c>
      <c r="J111" s="6" t="s">
        <v>73</v>
      </c>
      <c r="K111" s="6">
        <v>252</v>
      </c>
      <c r="L111" s="6" t="s">
        <v>53</v>
      </c>
      <c r="M111" s="63">
        <v>38155000</v>
      </c>
      <c r="N111" s="63">
        <v>34782243.479999997</v>
      </c>
      <c r="O111" s="63">
        <v>34782243.479999997</v>
      </c>
      <c r="P111" s="64">
        <f t="shared" si="29"/>
        <v>0.9116038128685624</v>
      </c>
    </row>
    <row r="112" spans="1:16" ht="48.9" customHeight="1" x14ac:dyDescent="0.25">
      <c r="A112" s="4" t="s">
        <v>327</v>
      </c>
      <c r="B112" s="5" t="s">
        <v>136</v>
      </c>
      <c r="C112" s="5" t="s">
        <v>30</v>
      </c>
      <c r="D112" s="5" t="s">
        <v>61</v>
      </c>
      <c r="E112" s="5" t="s">
        <v>32</v>
      </c>
      <c r="F112" s="5" t="s">
        <v>139</v>
      </c>
      <c r="G112" s="5" t="s">
        <v>28</v>
      </c>
      <c r="H112" s="5" t="s">
        <v>290</v>
      </c>
      <c r="I112" s="5" t="s">
        <v>259</v>
      </c>
      <c r="J112" s="6" t="s">
        <v>324</v>
      </c>
      <c r="K112" s="6" t="s">
        <v>328</v>
      </c>
      <c r="L112" s="6" t="s">
        <v>53</v>
      </c>
      <c r="M112" s="63">
        <f>9344433.7+6262004.8</f>
        <v>15606438.5</v>
      </c>
      <c r="N112" s="63">
        <v>14192125.42</v>
      </c>
      <c r="O112" s="63">
        <v>14192125.42</v>
      </c>
      <c r="P112" s="64">
        <f t="shared" si="29"/>
        <v>0.90937630773350375</v>
      </c>
    </row>
    <row r="113" spans="1:16" s="35" customFormat="1" ht="64.5" customHeight="1" x14ac:dyDescent="0.25">
      <c r="A113" s="37" t="s">
        <v>329</v>
      </c>
      <c r="B113" s="32" t="s">
        <v>136</v>
      </c>
      <c r="C113" s="32" t="s">
        <v>30</v>
      </c>
      <c r="D113" s="32" t="s">
        <v>330</v>
      </c>
      <c r="E113" s="32" t="s">
        <v>0</v>
      </c>
      <c r="F113" s="32" t="s">
        <v>0</v>
      </c>
      <c r="G113" s="32" t="s">
        <v>0</v>
      </c>
      <c r="H113" s="38" t="s">
        <v>0</v>
      </c>
      <c r="I113" s="38" t="s">
        <v>0</v>
      </c>
      <c r="J113" s="38" t="s">
        <v>0</v>
      </c>
      <c r="K113" s="38" t="s">
        <v>0</v>
      </c>
      <c r="L113" s="38" t="s">
        <v>0</v>
      </c>
      <c r="M113" s="61">
        <f>M114</f>
        <v>611708277.99000001</v>
      </c>
      <c r="N113" s="61">
        <f t="shared" ref="N113:O115" si="48">N114</f>
        <v>549354969.54999995</v>
      </c>
      <c r="O113" s="61">
        <f t="shared" si="48"/>
        <v>549354969.54999995</v>
      </c>
      <c r="P113" s="62">
        <f t="shared" si="29"/>
        <v>0.89806692064902971</v>
      </c>
    </row>
    <row r="114" spans="1:16" s="35" customFormat="1" ht="32.25" customHeight="1" x14ac:dyDescent="0.25">
      <c r="A114" s="37" t="s">
        <v>31</v>
      </c>
      <c r="B114" s="32" t="s">
        <v>136</v>
      </c>
      <c r="C114" s="32" t="s">
        <v>30</v>
      </c>
      <c r="D114" s="32" t="s">
        <v>330</v>
      </c>
      <c r="E114" s="32" t="s">
        <v>32</v>
      </c>
      <c r="F114" s="32" t="s">
        <v>0</v>
      </c>
      <c r="G114" s="32" t="s">
        <v>0</v>
      </c>
      <c r="H114" s="38" t="s">
        <v>0</v>
      </c>
      <c r="I114" s="38" t="s">
        <v>0</v>
      </c>
      <c r="J114" s="38" t="s">
        <v>0</v>
      </c>
      <c r="K114" s="38" t="s">
        <v>0</v>
      </c>
      <c r="L114" s="38" t="s">
        <v>0</v>
      </c>
      <c r="M114" s="61">
        <f>M115</f>
        <v>611708277.99000001</v>
      </c>
      <c r="N114" s="61">
        <f t="shared" si="48"/>
        <v>549354969.54999995</v>
      </c>
      <c r="O114" s="61">
        <f t="shared" si="48"/>
        <v>549354969.54999995</v>
      </c>
      <c r="P114" s="62">
        <f t="shared" si="29"/>
        <v>0.89806692064902971</v>
      </c>
    </row>
    <row r="115" spans="1:16" s="35" customFormat="1" ht="15" customHeight="1" x14ac:dyDescent="0.25">
      <c r="A115" s="36" t="s">
        <v>138</v>
      </c>
      <c r="B115" s="32" t="s">
        <v>136</v>
      </c>
      <c r="C115" s="32" t="s">
        <v>30</v>
      </c>
      <c r="D115" s="32" t="s">
        <v>330</v>
      </c>
      <c r="E115" s="32" t="s">
        <v>32</v>
      </c>
      <c r="F115" s="32" t="s">
        <v>139</v>
      </c>
      <c r="G115" s="32" t="s">
        <v>0</v>
      </c>
      <c r="H115" s="32" t="s">
        <v>0</v>
      </c>
      <c r="I115" s="32" t="s">
        <v>0</v>
      </c>
      <c r="J115" s="32" t="s">
        <v>0</v>
      </c>
      <c r="K115" s="32" t="s">
        <v>0</v>
      </c>
      <c r="L115" s="32" t="s">
        <v>0</v>
      </c>
      <c r="M115" s="61">
        <f>M116</f>
        <v>611708277.99000001</v>
      </c>
      <c r="N115" s="61">
        <f t="shared" si="48"/>
        <v>549354969.54999995</v>
      </c>
      <c r="O115" s="61">
        <f t="shared" si="48"/>
        <v>549354969.54999995</v>
      </c>
      <c r="P115" s="62">
        <f t="shared" si="29"/>
        <v>0.89806692064902971</v>
      </c>
    </row>
    <row r="116" spans="1:16" s="35" customFormat="1" ht="15" customHeight="1" x14ac:dyDescent="0.25">
      <c r="A116" s="36" t="s">
        <v>331</v>
      </c>
      <c r="B116" s="32" t="s">
        <v>136</v>
      </c>
      <c r="C116" s="32" t="s">
        <v>30</v>
      </c>
      <c r="D116" s="32" t="s">
        <v>330</v>
      </c>
      <c r="E116" s="32" t="s">
        <v>32</v>
      </c>
      <c r="F116" s="32" t="s">
        <v>139</v>
      </c>
      <c r="G116" s="32" t="s">
        <v>71</v>
      </c>
      <c r="H116" s="32" t="s">
        <v>0</v>
      </c>
      <c r="I116" s="32" t="s">
        <v>0</v>
      </c>
      <c r="J116" s="32" t="s">
        <v>0</v>
      </c>
      <c r="K116" s="32" t="s">
        <v>0</v>
      </c>
      <c r="L116" s="32" t="s">
        <v>0</v>
      </c>
      <c r="M116" s="61">
        <f>M117+M123+M136</f>
        <v>611708277.99000001</v>
      </c>
      <c r="N116" s="61">
        <f t="shared" ref="N116:O116" si="49">N117+N123+N136</f>
        <v>549354969.54999995</v>
      </c>
      <c r="O116" s="61">
        <f t="shared" si="49"/>
        <v>549354969.54999995</v>
      </c>
      <c r="P116" s="62">
        <f t="shared" si="29"/>
        <v>0.89806692064902971</v>
      </c>
    </row>
    <row r="117" spans="1:16" s="35" customFormat="1" ht="144.44999999999999" customHeight="1" x14ac:dyDescent="0.25">
      <c r="A117" s="37" t="s">
        <v>332</v>
      </c>
      <c r="B117" s="32" t="s">
        <v>136</v>
      </c>
      <c r="C117" s="32" t="s">
        <v>30</v>
      </c>
      <c r="D117" s="32" t="s">
        <v>330</v>
      </c>
      <c r="E117" s="32" t="s">
        <v>32</v>
      </c>
      <c r="F117" s="32" t="s">
        <v>139</v>
      </c>
      <c r="G117" s="32" t="s">
        <v>71</v>
      </c>
      <c r="H117" s="32" t="s">
        <v>333</v>
      </c>
      <c r="I117" s="38" t="s">
        <v>0</v>
      </c>
      <c r="J117" s="38" t="s">
        <v>0</v>
      </c>
      <c r="K117" s="38" t="s">
        <v>0</v>
      </c>
      <c r="L117" s="38" t="s">
        <v>0</v>
      </c>
      <c r="M117" s="61">
        <f>M118</f>
        <v>145901843.38999999</v>
      </c>
      <c r="N117" s="61">
        <f t="shared" ref="N117:O118" si="50">N118</f>
        <v>137073892.13</v>
      </c>
      <c r="O117" s="61">
        <f t="shared" si="50"/>
        <v>137073892.13</v>
      </c>
      <c r="P117" s="62">
        <f t="shared" si="29"/>
        <v>0.93949390182547166</v>
      </c>
    </row>
    <row r="118" spans="1:16" s="35" customFormat="1" ht="15" customHeight="1" x14ac:dyDescent="0.25">
      <c r="A118" s="37" t="s">
        <v>334</v>
      </c>
      <c r="B118" s="32" t="s">
        <v>136</v>
      </c>
      <c r="C118" s="32" t="s">
        <v>30</v>
      </c>
      <c r="D118" s="32" t="s">
        <v>330</v>
      </c>
      <c r="E118" s="32" t="s">
        <v>32</v>
      </c>
      <c r="F118" s="32" t="s">
        <v>139</v>
      </c>
      <c r="G118" s="32" t="s">
        <v>71</v>
      </c>
      <c r="H118" s="32" t="s">
        <v>333</v>
      </c>
      <c r="I118" s="32" t="s">
        <v>335</v>
      </c>
      <c r="J118" s="32" t="s">
        <v>0</v>
      </c>
      <c r="K118" s="32" t="s">
        <v>0</v>
      </c>
      <c r="L118" s="32" t="s">
        <v>0</v>
      </c>
      <c r="M118" s="61">
        <f>M119</f>
        <v>145901843.38999999</v>
      </c>
      <c r="N118" s="61">
        <f t="shared" si="50"/>
        <v>137073892.13</v>
      </c>
      <c r="O118" s="61">
        <f t="shared" si="50"/>
        <v>137073892.13</v>
      </c>
      <c r="P118" s="62">
        <f t="shared" si="29"/>
        <v>0.93949390182547166</v>
      </c>
    </row>
    <row r="119" spans="1:16" s="35" customFormat="1" ht="15" customHeight="1" x14ac:dyDescent="0.25">
      <c r="A119" s="37" t="s">
        <v>336</v>
      </c>
      <c r="B119" s="39" t="s">
        <v>0</v>
      </c>
      <c r="C119" s="39" t="s">
        <v>0</v>
      </c>
      <c r="D119" s="39" t="s">
        <v>0</v>
      </c>
      <c r="E119" s="39" t="s">
        <v>0</v>
      </c>
      <c r="F119" s="39" t="s">
        <v>0</v>
      </c>
      <c r="G119" s="39" t="s">
        <v>0</v>
      </c>
      <c r="H119" s="39" t="s">
        <v>0</v>
      </c>
      <c r="I119" s="39" t="s">
        <v>0</v>
      </c>
      <c r="J119" s="39" t="s">
        <v>0</v>
      </c>
      <c r="K119" s="39" t="s">
        <v>0</v>
      </c>
      <c r="L119" s="39" t="s">
        <v>0</v>
      </c>
      <c r="M119" s="61">
        <f>M120+M121+M122</f>
        <v>145901843.38999999</v>
      </c>
      <c r="N119" s="61">
        <f t="shared" ref="N119:O119" si="51">N120+N121+N122</f>
        <v>137073892.13</v>
      </c>
      <c r="O119" s="61">
        <f t="shared" si="51"/>
        <v>137073892.13</v>
      </c>
      <c r="P119" s="62">
        <f t="shared" si="29"/>
        <v>0.93949390182547166</v>
      </c>
    </row>
    <row r="120" spans="1:16" ht="32.25" customHeight="1" x14ac:dyDescent="0.25">
      <c r="A120" s="4" t="s">
        <v>337</v>
      </c>
      <c r="B120" s="5" t="s">
        <v>136</v>
      </c>
      <c r="C120" s="5" t="s">
        <v>30</v>
      </c>
      <c r="D120" s="5" t="s">
        <v>330</v>
      </c>
      <c r="E120" s="5" t="s">
        <v>32</v>
      </c>
      <c r="F120" s="5" t="s">
        <v>139</v>
      </c>
      <c r="G120" s="5" t="s">
        <v>71</v>
      </c>
      <c r="H120" s="5" t="s">
        <v>333</v>
      </c>
      <c r="I120" s="5" t="s">
        <v>335</v>
      </c>
      <c r="J120" s="6" t="s">
        <v>73</v>
      </c>
      <c r="K120" s="6" t="s">
        <v>338</v>
      </c>
      <c r="L120" s="6" t="s">
        <v>53</v>
      </c>
      <c r="M120" s="63">
        <v>70688773.109999999</v>
      </c>
      <c r="N120" s="63">
        <v>70688773.099999994</v>
      </c>
      <c r="O120" s="63">
        <v>70688773.099999994</v>
      </c>
      <c r="P120" s="64">
        <f t="shared" si="29"/>
        <v>0.99999999985853472</v>
      </c>
    </row>
    <row r="121" spans="1:16" ht="64.5" customHeight="1" x14ac:dyDescent="0.25">
      <c r="A121" s="4" t="s">
        <v>339</v>
      </c>
      <c r="B121" s="5" t="s">
        <v>136</v>
      </c>
      <c r="C121" s="5" t="s">
        <v>30</v>
      </c>
      <c r="D121" s="5" t="s">
        <v>330</v>
      </c>
      <c r="E121" s="5" t="s">
        <v>32</v>
      </c>
      <c r="F121" s="5" t="s">
        <v>139</v>
      </c>
      <c r="G121" s="5" t="s">
        <v>71</v>
      </c>
      <c r="H121" s="5" t="s">
        <v>333</v>
      </c>
      <c r="I121" s="5" t="s">
        <v>335</v>
      </c>
      <c r="J121" s="6" t="s">
        <v>73</v>
      </c>
      <c r="K121" s="6" t="s">
        <v>340</v>
      </c>
      <c r="L121" s="6" t="s">
        <v>53</v>
      </c>
      <c r="M121" s="63">
        <v>39441720</v>
      </c>
      <c r="N121" s="63">
        <v>35128699.369999997</v>
      </c>
      <c r="O121" s="63">
        <v>35128699.369999997</v>
      </c>
      <c r="P121" s="64">
        <f t="shared" si="29"/>
        <v>0.8906482620433388</v>
      </c>
    </row>
    <row r="122" spans="1:16" ht="64.5" customHeight="1" x14ac:dyDescent="0.25">
      <c r="A122" s="4" t="s">
        <v>341</v>
      </c>
      <c r="B122" s="5" t="s">
        <v>136</v>
      </c>
      <c r="C122" s="5" t="s">
        <v>30</v>
      </c>
      <c r="D122" s="5" t="s">
        <v>330</v>
      </c>
      <c r="E122" s="5" t="s">
        <v>32</v>
      </c>
      <c r="F122" s="5" t="s">
        <v>139</v>
      </c>
      <c r="G122" s="5" t="s">
        <v>71</v>
      </c>
      <c r="H122" s="5" t="s">
        <v>333</v>
      </c>
      <c r="I122" s="5" t="s">
        <v>335</v>
      </c>
      <c r="J122" s="6" t="s">
        <v>73</v>
      </c>
      <c r="K122" s="6" t="s">
        <v>340</v>
      </c>
      <c r="L122" s="6" t="s">
        <v>53</v>
      </c>
      <c r="M122" s="63">
        <f>39441720-3670369.72</f>
        <v>35771350.280000001</v>
      </c>
      <c r="N122" s="63">
        <v>31256419.66</v>
      </c>
      <c r="O122" s="63">
        <v>31256419.66</v>
      </c>
      <c r="P122" s="64">
        <f t="shared" si="29"/>
        <v>0.8737836121740048</v>
      </c>
    </row>
    <row r="123" spans="1:16" s="35" customFormat="1" ht="120" customHeight="1" x14ac:dyDescent="0.25">
      <c r="A123" s="37" t="s">
        <v>342</v>
      </c>
      <c r="B123" s="32" t="s">
        <v>136</v>
      </c>
      <c r="C123" s="32" t="s">
        <v>30</v>
      </c>
      <c r="D123" s="32" t="s">
        <v>330</v>
      </c>
      <c r="E123" s="32" t="s">
        <v>32</v>
      </c>
      <c r="F123" s="32" t="s">
        <v>139</v>
      </c>
      <c r="G123" s="32" t="s">
        <v>71</v>
      </c>
      <c r="H123" s="32" t="s">
        <v>343</v>
      </c>
      <c r="I123" s="38" t="s">
        <v>0</v>
      </c>
      <c r="J123" s="38" t="s">
        <v>0</v>
      </c>
      <c r="K123" s="38" t="s">
        <v>0</v>
      </c>
      <c r="L123" s="38" t="s">
        <v>0</v>
      </c>
      <c r="M123" s="61">
        <f>M124</f>
        <v>341402412.89999998</v>
      </c>
      <c r="N123" s="61">
        <f t="shared" ref="N123:O123" si="52">N124</f>
        <v>330598479.86999995</v>
      </c>
      <c r="O123" s="61">
        <f t="shared" si="52"/>
        <v>330598479.86999995</v>
      </c>
      <c r="P123" s="62">
        <f t="shared" si="29"/>
        <v>0.9683542569654755</v>
      </c>
    </row>
    <row r="124" spans="1:16" s="35" customFormat="1" ht="30" customHeight="1" x14ac:dyDescent="0.25">
      <c r="A124" s="37" t="s">
        <v>334</v>
      </c>
      <c r="B124" s="32" t="s">
        <v>136</v>
      </c>
      <c r="C124" s="32" t="s">
        <v>30</v>
      </c>
      <c r="D124" s="32" t="s">
        <v>330</v>
      </c>
      <c r="E124" s="32" t="s">
        <v>32</v>
      </c>
      <c r="F124" s="32" t="s">
        <v>139</v>
      </c>
      <c r="G124" s="32" t="s">
        <v>71</v>
      </c>
      <c r="H124" s="32" t="s">
        <v>343</v>
      </c>
      <c r="I124" s="32" t="s">
        <v>335</v>
      </c>
      <c r="J124" s="32" t="s">
        <v>0</v>
      </c>
      <c r="K124" s="32" t="s">
        <v>0</v>
      </c>
      <c r="L124" s="32" t="s">
        <v>0</v>
      </c>
      <c r="M124" s="61">
        <f>M125+M132+M134</f>
        <v>341402412.89999998</v>
      </c>
      <c r="N124" s="61">
        <f t="shared" ref="N124:O124" si="53">N125+N132+N134</f>
        <v>330598479.86999995</v>
      </c>
      <c r="O124" s="61">
        <f t="shared" si="53"/>
        <v>330598479.86999995</v>
      </c>
      <c r="P124" s="62">
        <f t="shared" si="29"/>
        <v>0.9683542569654755</v>
      </c>
    </row>
    <row r="125" spans="1:16" s="35" customFormat="1" ht="15" customHeight="1" x14ac:dyDescent="0.25">
      <c r="A125" s="37" t="s">
        <v>336</v>
      </c>
      <c r="B125" s="39" t="s">
        <v>0</v>
      </c>
      <c r="C125" s="39" t="s">
        <v>0</v>
      </c>
      <c r="D125" s="39" t="s">
        <v>0</v>
      </c>
      <c r="E125" s="39" t="s">
        <v>0</v>
      </c>
      <c r="F125" s="39" t="s">
        <v>0</v>
      </c>
      <c r="G125" s="39" t="s">
        <v>0</v>
      </c>
      <c r="H125" s="39" t="s">
        <v>0</v>
      </c>
      <c r="I125" s="39" t="s">
        <v>0</v>
      </c>
      <c r="J125" s="39" t="s">
        <v>0</v>
      </c>
      <c r="K125" s="39" t="s">
        <v>0</v>
      </c>
      <c r="L125" s="39" t="s">
        <v>0</v>
      </c>
      <c r="M125" s="61">
        <f>M126+M127+M128+M129+M130+M131</f>
        <v>264840249.47</v>
      </c>
      <c r="N125" s="61">
        <f t="shared" ref="N125:O125" si="54">N126+N127+N128+N129+N130+N131</f>
        <v>256321555.15999997</v>
      </c>
      <c r="O125" s="61">
        <f t="shared" si="54"/>
        <v>256321555.15999997</v>
      </c>
      <c r="P125" s="62">
        <f t="shared" si="29"/>
        <v>0.96783459339338451</v>
      </c>
    </row>
    <row r="126" spans="1:16" ht="32.25" customHeight="1" x14ac:dyDescent="0.25">
      <c r="A126" s="4" t="s">
        <v>344</v>
      </c>
      <c r="B126" s="5" t="s">
        <v>136</v>
      </c>
      <c r="C126" s="5" t="s">
        <v>30</v>
      </c>
      <c r="D126" s="5" t="s">
        <v>330</v>
      </c>
      <c r="E126" s="5" t="s">
        <v>32</v>
      </c>
      <c r="F126" s="5" t="s">
        <v>139</v>
      </c>
      <c r="G126" s="5" t="s">
        <v>71</v>
      </c>
      <c r="H126" s="5" t="s">
        <v>343</v>
      </c>
      <c r="I126" s="5" t="s">
        <v>335</v>
      </c>
      <c r="J126" s="6" t="s">
        <v>73</v>
      </c>
      <c r="K126" s="6" t="s">
        <v>78</v>
      </c>
      <c r="L126" s="6" t="s">
        <v>53</v>
      </c>
      <c r="M126" s="63">
        <v>96322343.120000005</v>
      </c>
      <c r="N126" s="63">
        <v>92141052.269999996</v>
      </c>
      <c r="O126" s="63">
        <v>92141052.269999996</v>
      </c>
      <c r="P126" s="64">
        <f t="shared" si="29"/>
        <v>0.95659064434519736</v>
      </c>
    </row>
    <row r="127" spans="1:16" ht="60" customHeight="1" x14ac:dyDescent="0.25">
      <c r="A127" s="4" t="s">
        <v>345</v>
      </c>
      <c r="B127" s="5" t="s">
        <v>136</v>
      </c>
      <c r="C127" s="5" t="s">
        <v>30</v>
      </c>
      <c r="D127" s="5" t="s">
        <v>330</v>
      </c>
      <c r="E127" s="5" t="s">
        <v>32</v>
      </c>
      <c r="F127" s="5" t="s">
        <v>139</v>
      </c>
      <c r="G127" s="5" t="s">
        <v>71</v>
      </c>
      <c r="H127" s="5" t="s">
        <v>343</v>
      </c>
      <c r="I127" s="5" t="s">
        <v>335</v>
      </c>
      <c r="J127" s="6" t="s">
        <v>73</v>
      </c>
      <c r="K127" s="6" t="s">
        <v>340</v>
      </c>
      <c r="L127" s="6" t="s">
        <v>53</v>
      </c>
      <c r="M127" s="63">
        <f>4230656.63-461860.01</f>
        <v>3768796.62</v>
      </c>
      <c r="N127" s="63">
        <v>3768796.61</v>
      </c>
      <c r="O127" s="63">
        <v>3768796.61</v>
      </c>
      <c r="P127" s="64">
        <f t="shared" si="29"/>
        <v>0.99999999734663314</v>
      </c>
    </row>
    <row r="128" spans="1:16" ht="64.5" customHeight="1" x14ac:dyDescent="0.25">
      <c r="A128" s="4" t="s">
        <v>346</v>
      </c>
      <c r="B128" s="5" t="s">
        <v>136</v>
      </c>
      <c r="C128" s="5" t="s">
        <v>30</v>
      </c>
      <c r="D128" s="5" t="s">
        <v>330</v>
      </c>
      <c r="E128" s="5" t="s">
        <v>32</v>
      </c>
      <c r="F128" s="5" t="s">
        <v>139</v>
      </c>
      <c r="G128" s="5" t="s">
        <v>71</v>
      </c>
      <c r="H128" s="5" t="s">
        <v>343</v>
      </c>
      <c r="I128" s="5" t="s">
        <v>335</v>
      </c>
      <c r="J128" s="6" t="s">
        <v>73</v>
      </c>
      <c r="K128" s="6" t="s">
        <v>340</v>
      </c>
      <c r="L128" s="6" t="s">
        <v>53</v>
      </c>
      <c r="M128" s="63">
        <f>39441720+831221.98</f>
        <v>40272941.979999997</v>
      </c>
      <c r="N128" s="63">
        <v>39521220.950000003</v>
      </c>
      <c r="O128" s="63">
        <v>39521220.950000003</v>
      </c>
      <c r="P128" s="64">
        <f t="shared" si="29"/>
        <v>0.98133434030289357</v>
      </c>
    </row>
    <row r="129" spans="1:16" ht="64.5" customHeight="1" x14ac:dyDescent="0.25">
      <c r="A129" s="4" t="s">
        <v>347</v>
      </c>
      <c r="B129" s="5" t="s">
        <v>136</v>
      </c>
      <c r="C129" s="5" t="s">
        <v>30</v>
      </c>
      <c r="D129" s="5" t="s">
        <v>330</v>
      </c>
      <c r="E129" s="5" t="s">
        <v>32</v>
      </c>
      <c r="F129" s="5" t="s">
        <v>139</v>
      </c>
      <c r="G129" s="5" t="s">
        <v>71</v>
      </c>
      <c r="H129" s="5" t="s">
        <v>343</v>
      </c>
      <c r="I129" s="5" t="s">
        <v>335</v>
      </c>
      <c r="J129" s="6" t="s">
        <v>73</v>
      </c>
      <c r="K129" s="6" t="s">
        <v>340</v>
      </c>
      <c r="L129" s="6" t="s">
        <v>53</v>
      </c>
      <c r="M129" s="63">
        <v>39441720</v>
      </c>
      <c r="N129" s="63">
        <v>38732274.149999999</v>
      </c>
      <c r="O129" s="63">
        <v>38732274.149999999</v>
      </c>
      <c r="P129" s="64">
        <f t="shared" si="29"/>
        <v>0.98201280649018341</v>
      </c>
    </row>
    <row r="130" spans="1:16" ht="64.5" customHeight="1" x14ac:dyDescent="0.25">
      <c r="A130" s="4" t="s">
        <v>348</v>
      </c>
      <c r="B130" s="5" t="s">
        <v>136</v>
      </c>
      <c r="C130" s="5" t="s">
        <v>30</v>
      </c>
      <c r="D130" s="5" t="s">
        <v>330</v>
      </c>
      <c r="E130" s="5" t="s">
        <v>32</v>
      </c>
      <c r="F130" s="5" t="s">
        <v>139</v>
      </c>
      <c r="G130" s="5" t="s">
        <v>71</v>
      </c>
      <c r="H130" s="5" t="s">
        <v>343</v>
      </c>
      <c r="I130" s="5" t="s">
        <v>335</v>
      </c>
      <c r="J130" s="6" t="s">
        <v>73</v>
      </c>
      <c r="K130" s="6" t="s">
        <v>340</v>
      </c>
      <c r="L130" s="6" t="s">
        <v>53</v>
      </c>
      <c r="M130" s="63">
        <f>39441720+7291007.75</f>
        <v>46732727.75</v>
      </c>
      <c r="N130" s="63">
        <v>44556808.600000001</v>
      </c>
      <c r="O130" s="63">
        <v>44556808.600000001</v>
      </c>
      <c r="P130" s="64">
        <f t="shared" si="29"/>
        <v>0.95343907247100512</v>
      </c>
    </row>
    <row r="131" spans="1:16" ht="64.5" customHeight="1" x14ac:dyDescent="0.25">
      <c r="A131" s="4" t="s">
        <v>349</v>
      </c>
      <c r="B131" s="5" t="s">
        <v>136</v>
      </c>
      <c r="C131" s="5" t="s">
        <v>30</v>
      </c>
      <c r="D131" s="5" t="s">
        <v>330</v>
      </c>
      <c r="E131" s="5" t="s">
        <v>32</v>
      </c>
      <c r="F131" s="5" t="s">
        <v>139</v>
      </c>
      <c r="G131" s="5" t="s">
        <v>71</v>
      </c>
      <c r="H131" s="5" t="s">
        <v>343</v>
      </c>
      <c r="I131" s="5" t="s">
        <v>335</v>
      </c>
      <c r="J131" s="6" t="s">
        <v>73</v>
      </c>
      <c r="K131" s="6" t="s">
        <v>340</v>
      </c>
      <c r="L131" s="6" t="s">
        <v>53</v>
      </c>
      <c r="M131" s="63">
        <f>39441720-1140000</f>
        <v>38301720</v>
      </c>
      <c r="N131" s="63">
        <v>37601402.579999998</v>
      </c>
      <c r="O131" s="63">
        <v>37601402.579999998</v>
      </c>
      <c r="P131" s="64">
        <f t="shared" si="29"/>
        <v>0.98171577098887464</v>
      </c>
    </row>
    <row r="132" spans="1:16" s="35" customFormat="1" ht="15" customHeight="1" x14ac:dyDescent="0.25">
      <c r="A132" s="37" t="s">
        <v>293</v>
      </c>
      <c r="B132" s="39" t="s">
        <v>0</v>
      </c>
      <c r="C132" s="39" t="s">
        <v>0</v>
      </c>
      <c r="D132" s="39" t="s">
        <v>0</v>
      </c>
      <c r="E132" s="39" t="s">
        <v>0</v>
      </c>
      <c r="F132" s="39" t="s">
        <v>0</v>
      </c>
      <c r="G132" s="39" t="s">
        <v>0</v>
      </c>
      <c r="H132" s="39" t="s">
        <v>0</v>
      </c>
      <c r="I132" s="39" t="s">
        <v>0</v>
      </c>
      <c r="J132" s="39" t="s">
        <v>0</v>
      </c>
      <c r="K132" s="39" t="s">
        <v>0</v>
      </c>
      <c r="L132" s="39" t="s">
        <v>0</v>
      </c>
      <c r="M132" s="61">
        <f>M133</f>
        <v>34925963.969999999</v>
      </c>
      <c r="N132" s="61">
        <f t="shared" ref="N132:O132" si="55">N133</f>
        <v>33740531.079999998</v>
      </c>
      <c r="O132" s="61">
        <f t="shared" si="55"/>
        <v>33740531.079999998</v>
      </c>
      <c r="P132" s="62">
        <f t="shared" si="29"/>
        <v>0.96605869229498609</v>
      </c>
    </row>
    <row r="133" spans="1:16" ht="69.900000000000006" customHeight="1" x14ac:dyDescent="0.25">
      <c r="A133" s="4" t="s">
        <v>350</v>
      </c>
      <c r="B133" s="5" t="s">
        <v>136</v>
      </c>
      <c r="C133" s="5" t="s">
        <v>30</v>
      </c>
      <c r="D133" s="5" t="s">
        <v>330</v>
      </c>
      <c r="E133" s="5" t="s">
        <v>32</v>
      </c>
      <c r="F133" s="5" t="s">
        <v>139</v>
      </c>
      <c r="G133" s="5" t="s">
        <v>71</v>
      </c>
      <c r="H133" s="5" t="s">
        <v>343</v>
      </c>
      <c r="I133" s="5" t="s">
        <v>335</v>
      </c>
      <c r="J133" s="6" t="s">
        <v>73</v>
      </c>
      <c r="K133" s="6" t="s">
        <v>338</v>
      </c>
      <c r="L133" s="6" t="s">
        <v>53</v>
      </c>
      <c r="M133" s="63">
        <f>34048536.51-5.55+877433.01</f>
        <v>34925963.969999999</v>
      </c>
      <c r="N133" s="63">
        <v>33740531.079999998</v>
      </c>
      <c r="O133" s="63">
        <v>33740531.079999998</v>
      </c>
      <c r="P133" s="64">
        <f t="shared" si="29"/>
        <v>0.96605869229498609</v>
      </c>
    </row>
    <row r="134" spans="1:16" s="35" customFormat="1" ht="15" customHeight="1" x14ac:dyDescent="0.25">
      <c r="A134" s="37" t="s">
        <v>306</v>
      </c>
      <c r="B134" s="39" t="s">
        <v>0</v>
      </c>
      <c r="C134" s="39" t="s">
        <v>0</v>
      </c>
      <c r="D134" s="39" t="s">
        <v>0</v>
      </c>
      <c r="E134" s="39" t="s">
        <v>0</v>
      </c>
      <c r="F134" s="39" t="s">
        <v>0</v>
      </c>
      <c r="G134" s="39" t="s">
        <v>0</v>
      </c>
      <c r="H134" s="39" t="s">
        <v>0</v>
      </c>
      <c r="I134" s="39" t="s">
        <v>0</v>
      </c>
      <c r="J134" s="39" t="s">
        <v>0</v>
      </c>
      <c r="K134" s="39" t="s">
        <v>0</v>
      </c>
      <c r="L134" s="39" t="s">
        <v>0</v>
      </c>
      <c r="M134" s="61">
        <f>M135</f>
        <v>41636199.460000001</v>
      </c>
      <c r="N134" s="61">
        <f t="shared" ref="N134:O134" si="56">N135</f>
        <v>40536393.630000003</v>
      </c>
      <c r="O134" s="61">
        <f t="shared" si="56"/>
        <v>40536393.630000003</v>
      </c>
      <c r="P134" s="62">
        <f t="shared" si="29"/>
        <v>0.97358534534218033</v>
      </c>
    </row>
    <row r="135" spans="1:16" ht="60" customHeight="1" x14ac:dyDescent="0.25">
      <c r="A135" s="4" t="s">
        <v>351</v>
      </c>
      <c r="B135" s="5" t="s">
        <v>136</v>
      </c>
      <c r="C135" s="5" t="s">
        <v>30</v>
      </c>
      <c r="D135" s="5" t="s">
        <v>330</v>
      </c>
      <c r="E135" s="5" t="s">
        <v>32</v>
      </c>
      <c r="F135" s="5" t="s">
        <v>139</v>
      </c>
      <c r="G135" s="5" t="s">
        <v>71</v>
      </c>
      <c r="H135" s="5" t="s">
        <v>343</v>
      </c>
      <c r="I135" s="5" t="s">
        <v>335</v>
      </c>
      <c r="J135" s="6" t="s">
        <v>73</v>
      </c>
      <c r="K135" s="6" t="s">
        <v>338</v>
      </c>
      <c r="L135" s="6" t="s">
        <v>53</v>
      </c>
      <c r="M135" s="63">
        <v>41636199.460000001</v>
      </c>
      <c r="N135" s="63">
        <v>40536393.630000003</v>
      </c>
      <c r="O135" s="63">
        <v>40536393.630000003</v>
      </c>
      <c r="P135" s="64">
        <f t="shared" ref="P135:P198" si="57">O135/M135</f>
        <v>0.97358534534218033</v>
      </c>
    </row>
    <row r="136" spans="1:16" s="35" customFormat="1" ht="112.35" customHeight="1" x14ac:dyDescent="0.25">
      <c r="A136" s="37" t="s">
        <v>352</v>
      </c>
      <c r="B136" s="32" t="s">
        <v>136</v>
      </c>
      <c r="C136" s="32" t="s">
        <v>30</v>
      </c>
      <c r="D136" s="32" t="s">
        <v>330</v>
      </c>
      <c r="E136" s="32" t="s">
        <v>32</v>
      </c>
      <c r="F136" s="32" t="s">
        <v>139</v>
      </c>
      <c r="G136" s="32" t="s">
        <v>71</v>
      </c>
      <c r="H136" s="32" t="s">
        <v>353</v>
      </c>
      <c r="I136" s="38" t="s">
        <v>0</v>
      </c>
      <c r="J136" s="38" t="s">
        <v>0</v>
      </c>
      <c r="K136" s="38" t="s">
        <v>0</v>
      </c>
      <c r="L136" s="38" t="s">
        <v>0</v>
      </c>
      <c r="M136" s="61">
        <f>M137</f>
        <v>124404021.7</v>
      </c>
      <c r="N136" s="61">
        <f t="shared" ref="N136:O138" si="58">N137</f>
        <v>81682597.549999997</v>
      </c>
      <c r="O136" s="61">
        <f t="shared" si="58"/>
        <v>81682597.549999997</v>
      </c>
      <c r="P136" s="62">
        <f t="shared" si="57"/>
        <v>0.65659129370413272</v>
      </c>
    </row>
    <row r="137" spans="1:16" s="35" customFormat="1" ht="64.5" customHeight="1" x14ac:dyDescent="0.25">
      <c r="A137" s="37" t="s">
        <v>258</v>
      </c>
      <c r="B137" s="32" t="s">
        <v>136</v>
      </c>
      <c r="C137" s="32" t="s">
        <v>30</v>
      </c>
      <c r="D137" s="32" t="s">
        <v>330</v>
      </c>
      <c r="E137" s="32" t="s">
        <v>32</v>
      </c>
      <c r="F137" s="32" t="s">
        <v>139</v>
      </c>
      <c r="G137" s="32" t="s">
        <v>71</v>
      </c>
      <c r="H137" s="32" t="s">
        <v>353</v>
      </c>
      <c r="I137" s="32" t="s">
        <v>259</v>
      </c>
      <c r="J137" s="32" t="s">
        <v>0</v>
      </c>
      <c r="K137" s="32" t="s">
        <v>0</v>
      </c>
      <c r="L137" s="32" t="s">
        <v>0</v>
      </c>
      <c r="M137" s="61">
        <f>M138</f>
        <v>124404021.7</v>
      </c>
      <c r="N137" s="61">
        <f t="shared" si="58"/>
        <v>81682597.549999997</v>
      </c>
      <c r="O137" s="61">
        <f t="shared" si="58"/>
        <v>81682597.549999997</v>
      </c>
      <c r="P137" s="62">
        <f t="shared" si="57"/>
        <v>0.65659129370413272</v>
      </c>
    </row>
    <row r="138" spans="1:16" s="35" customFormat="1" ht="15" customHeight="1" x14ac:dyDescent="0.25">
      <c r="A138" s="37" t="s">
        <v>336</v>
      </c>
      <c r="B138" s="39" t="s">
        <v>0</v>
      </c>
      <c r="C138" s="39" t="s">
        <v>0</v>
      </c>
      <c r="D138" s="39" t="s">
        <v>0</v>
      </c>
      <c r="E138" s="39" t="s">
        <v>0</v>
      </c>
      <c r="F138" s="39" t="s">
        <v>0</v>
      </c>
      <c r="G138" s="39" t="s">
        <v>0</v>
      </c>
      <c r="H138" s="39" t="s">
        <v>0</v>
      </c>
      <c r="I138" s="39" t="s">
        <v>0</v>
      </c>
      <c r="J138" s="39" t="s">
        <v>0</v>
      </c>
      <c r="K138" s="39" t="s">
        <v>0</v>
      </c>
      <c r="L138" s="39" t="s">
        <v>0</v>
      </c>
      <c r="M138" s="61">
        <f>M139</f>
        <v>124404021.7</v>
      </c>
      <c r="N138" s="61">
        <f t="shared" si="58"/>
        <v>81682597.549999997</v>
      </c>
      <c r="O138" s="61">
        <f t="shared" si="58"/>
        <v>81682597.549999997</v>
      </c>
      <c r="P138" s="62">
        <f t="shared" si="57"/>
        <v>0.65659129370413272</v>
      </c>
    </row>
    <row r="139" spans="1:16" ht="48.9" customHeight="1" x14ac:dyDescent="0.25">
      <c r="A139" s="4" t="s">
        <v>515</v>
      </c>
      <c r="B139" s="5" t="s">
        <v>136</v>
      </c>
      <c r="C139" s="5" t="s">
        <v>30</v>
      </c>
      <c r="D139" s="5" t="s">
        <v>330</v>
      </c>
      <c r="E139" s="5" t="s">
        <v>32</v>
      </c>
      <c r="F139" s="5" t="s">
        <v>139</v>
      </c>
      <c r="G139" s="5" t="s">
        <v>71</v>
      </c>
      <c r="H139" s="5" t="s">
        <v>353</v>
      </c>
      <c r="I139" s="5" t="s">
        <v>259</v>
      </c>
      <c r="J139" s="6" t="s">
        <v>73</v>
      </c>
      <c r="K139" s="6" t="s">
        <v>354</v>
      </c>
      <c r="L139" s="6" t="s">
        <v>41</v>
      </c>
      <c r="M139" s="63">
        <v>124404021.7</v>
      </c>
      <c r="N139" s="63">
        <v>81682597.549999997</v>
      </c>
      <c r="O139" s="63">
        <v>81682597.549999997</v>
      </c>
      <c r="P139" s="64">
        <f t="shared" si="57"/>
        <v>0.65659129370413272</v>
      </c>
    </row>
    <row r="140" spans="1:16" s="35" customFormat="1" ht="80.099999999999994" customHeight="1" x14ac:dyDescent="0.25">
      <c r="A140" s="37" t="s">
        <v>150</v>
      </c>
      <c r="B140" s="32" t="s">
        <v>151</v>
      </c>
      <c r="C140" s="32" t="s">
        <v>0</v>
      </c>
      <c r="D140" s="32" t="s">
        <v>0</v>
      </c>
      <c r="E140" s="32" t="s">
        <v>0</v>
      </c>
      <c r="F140" s="32" t="s">
        <v>0</v>
      </c>
      <c r="G140" s="32" t="s">
        <v>0</v>
      </c>
      <c r="H140" s="38" t="s">
        <v>0</v>
      </c>
      <c r="I140" s="38" t="s">
        <v>0</v>
      </c>
      <c r="J140" s="38" t="s">
        <v>0</v>
      </c>
      <c r="K140" s="38" t="s">
        <v>0</v>
      </c>
      <c r="L140" s="38" t="s">
        <v>0</v>
      </c>
      <c r="M140" s="61">
        <f>M141</f>
        <v>104285484.03</v>
      </c>
      <c r="N140" s="61">
        <f t="shared" ref="N140:O142" si="59">N141</f>
        <v>103717594.18000001</v>
      </c>
      <c r="O140" s="61">
        <f t="shared" si="59"/>
        <v>103717594.18000001</v>
      </c>
      <c r="P140" s="62">
        <f t="shared" si="57"/>
        <v>0.99455446886705123</v>
      </c>
    </row>
    <row r="141" spans="1:16" s="35" customFormat="1" ht="48.9" customHeight="1" x14ac:dyDescent="0.25">
      <c r="A141" s="37" t="s">
        <v>152</v>
      </c>
      <c r="B141" s="32" t="s">
        <v>151</v>
      </c>
      <c r="C141" s="32" t="s">
        <v>14</v>
      </c>
      <c r="D141" s="32" t="s">
        <v>0</v>
      </c>
      <c r="E141" s="32" t="s">
        <v>0</v>
      </c>
      <c r="F141" s="32" t="s">
        <v>0</v>
      </c>
      <c r="G141" s="32" t="s">
        <v>0</v>
      </c>
      <c r="H141" s="38" t="s">
        <v>0</v>
      </c>
      <c r="I141" s="38" t="s">
        <v>0</v>
      </c>
      <c r="J141" s="38" t="s">
        <v>0</v>
      </c>
      <c r="K141" s="38" t="s">
        <v>0</v>
      </c>
      <c r="L141" s="38" t="s">
        <v>0</v>
      </c>
      <c r="M141" s="61">
        <f>M142</f>
        <v>104285484.03</v>
      </c>
      <c r="N141" s="61">
        <f t="shared" si="59"/>
        <v>103717594.18000001</v>
      </c>
      <c r="O141" s="61">
        <f t="shared" si="59"/>
        <v>103717594.18000001</v>
      </c>
      <c r="P141" s="62">
        <f t="shared" si="57"/>
        <v>0.99455446886705123</v>
      </c>
    </row>
    <row r="142" spans="1:16" s="35" customFormat="1" ht="48.9" customHeight="1" x14ac:dyDescent="0.25">
      <c r="A142" s="37" t="s">
        <v>153</v>
      </c>
      <c r="B142" s="32" t="s">
        <v>151</v>
      </c>
      <c r="C142" s="32" t="s">
        <v>14</v>
      </c>
      <c r="D142" s="32" t="s">
        <v>154</v>
      </c>
      <c r="E142" s="32" t="s">
        <v>0</v>
      </c>
      <c r="F142" s="32" t="s">
        <v>0</v>
      </c>
      <c r="G142" s="32" t="s">
        <v>0</v>
      </c>
      <c r="H142" s="38" t="s">
        <v>0</v>
      </c>
      <c r="I142" s="38" t="s">
        <v>0</v>
      </c>
      <c r="J142" s="38" t="s">
        <v>0</v>
      </c>
      <c r="K142" s="38" t="s">
        <v>0</v>
      </c>
      <c r="L142" s="38" t="s">
        <v>0</v>
      </c>
      <c r="M142" s="61">
        <f>M143</f>
        <v>104285484.03</v>
      </c>
      <c r="N142" s="61">
        <f t="shared" si="59"/>
        <v>103717594.18000001</v>
      </c>
      <c r="O142" s="61">
        <f t="shared" si="59"/>
        <v>103717594.18000001</v>
      </c>
      <c r="P142" s="62">
        <f t="shared" si="57"/>
        <v>0.99455446886705123</v>
      </c>
    </row>
    <row r="143" spans="1:16" s="35" customFormat="1" ht="32.25" customHeight="1" x14ac:dyDescent="0.25">
      <c r="A143" s="37" t="s">
        <v>31</v>
      </c>
      <c r="B143" s="32" t="s">
        <v>151</v>
      </c>
      <c r="C143" s="32" t="s">
        <v>14</v>
      </c>
      <c r="D143" s="32" t="s">
        <v>154</v>
      </c>
      <c r="E143" s="32" t="s">
        <v>32</v>
      </c>
      <c r="F143" s="32" t="s">
        <v>0</v>
      </c>
      <c r="G143" s="32" t="s">
        <v>0</v>
      </c>
      <c r="H143" s="38" t="s">
        <v>0</v>
      </c>
      <c r="I143" s="38" t="s">
        <v>0</v>
      </c>
      <c r="J143" s="38" t="s">
        <v>0</v>
      </c>
      <c r="K143" s="38" t="s">
        <v>0</v>
      </c>
      <c r="L143" s="38" t="s">
        <v>0</v>
      </c>
      <c r="M143" s="61">
        <f>M144+M152+M163</f>
        <v>104285484.03</v>
      </c>
      <c r="N143" s="61">
        <f t="shared" ref="N143:O143" si="60">N144+N152+N163</f>
        <v>103717594.18000001</v>
      </c>
      <c r="O143" s="61">
        <f t="shared" si="60"/>
        <v>103717594.18000001</v>
      </c>
      <c r="P143" s="62">
        <f t="shared" si="57"/>
        <v>0.99455446886705123</v>
      </c>
    </row>
    <row r="144" spans="1:16" s="35" customFormat="1" ht="15" customHeight="1" x14ac:dyDescent="0.25">
      <c r="A144" s="36" t="s">
        <v>156</v>
      </c>
      <c r="B144" s="32" t="s">
        <v>151</v>
      </c>
      <c r="C144" s="32" t="s">
        <v>14</v>
      </c>
      <c r="D144" s="32" t="s">
        <v>154</v>
      </c>
      <c r="E144" s="32" t="s">
        <v>32</v>
      </c>
      <c r="F144" s="32" t="s">
        <v>106</v>
      </c>
      <c r="G144" s="32" t="s">
        <v>0</v>
      </c>
      <c r="H144" s="32" t="s">
        <v>0</v>
      </c>
      <c r="I144" s="32" t="s">
        <v>0</v>
      </c>
      <c r="J144" s="32" t="s">
        <v>0</v>
      </c>
      <c r="K144" s="32" t="s">
        <v>0</v>
      </c>
      <c r="L144" s="32" t="s">
        <v>0</v>
      </c>
      <c r="M144" s="61">
        <f>M145</f>
        <v>44815589</v>
      </c>
      <c r="N144" s="61">
        <f t="shared" ref="N144:O146" si="61">N145</f>
        <v>44572655.569999993</v>
      </c>
      <c r="O144" s="61">
        <f t="shared" si="61"/>
        <v>44572655.569999993</v>
      </c>
      <c r="P144" s="62">
        <f t="shared" si="57"/>
        <v>0.99457926504101046</v>
      </c>
    </row>
    <row r="145" spans="1:16" s="35" customFormat="1" ht="32.25" customHeight="1" x14ac:dyDescent="0.25">
      <c r="A145" s="36" t="s">
        <v>157</v>
      </c>
      <c r="B145" s="32" t="s">
        <v>151</v>
      </c>
      <c r="C145" s="32" t="s">
        <v>14</v>
      </c>
      <c r="D145" s="32" t="s">
        <v>154</v>
      </c>
      <c r="E145" s="32" t="s">
        <v>32</v>
      </c>
      <c r="F145" s="32" t="s">
        <v>106</v>
      </c>
      <c r="G145" s="32" t="s">
        <v>65</v>
      </c>
      <c r="H145" s="32" t="s">
        <v>0</v>
      </c>
      <c r="I145" s="32" t="s">
        <v>0</v>
      </c>
      <c r="J145" s="32" t="s">
        <v>0</v>
      </c>
      <c r="K145" s="32" t="s">
        <v>0</v>
      </c>
      <c r="L145" s="32" t="s">
        <v>0</v>
      </c>
      <c r="M145" s="61">
        <f>M146</f>
        <v>44815589</v>
      </c>
      <c r="N145" s="61">
        <f t="shared" si="61"/>
        <v>44572655.569999993</v>
      </c>
      <c r="O145" s="61">
        <f t="shared" si="61"/>
        <v>44572655.569999993</v>
      </c>
      <c r="P145" s="62">
        <f t="shared" si="57"/>
        <v>0.99457926504101046</v>
      </c>
    </row>
    <row r="146" spans="1:16" s="35" customFormat="1" ht="32.25" customHeight="1" x14ac:dyDescent="0.25">
      <c r="A146" s="37" t="s">
        <v>158</v>
      </c>
      <c r="B146" s="32" t="s">
        <v>151</v>
      </c>
      <c r="C146" s="32" t="s">
        <v>14</v>
      </c>
      <c r="D146" s="32" t="s">
        <v>154</v>
      </c>
      <c r="E146" s="32" t="s">
        <v>32</v>
      </c>
      <c r="F146" s="32" t="s">
        <v>106</v>
      </c>
      <c r="G146" s="32" t="s">
        <v>65</v>
      </c>
      <c r="H146" s="32" t="s">
        <v>159</v>
      </c>
      <c r="I146" s="38" t="s">
        <v>0</v>
      </c>
      <c r="J146" s="38" t="s">
        <v>0</v>
      </c>
      <c r="K146" s="38" t="s">
        <v>0</v>
      </c>
      <c r="L146" s="38" t="s">
        <v>0</v>
      </c>
      <c r="M146" s="61">
        <f>M147</f>
        <v>44815589</v>
      </c>
      <c r="N146" s="61">
        <f t="shared" si="61"/>
        <v>44572655.569999993</v>
      </c>
      <c r="O146" s="61">
        <f t="shared" si="61"/>
        <v>44572655.569999993</v>
      </c>
      <c r="P146" s="62">
        <f t="shared" si="57"/>
        <v>0.99457926504101046</v>
      </c>
    </row>
    <row r="147" spans="1:16" s="35" customFormat="1" ht="64.5" customHeight="1" x14ac:dyDescent="0.25">
      <c r="A147" s="37" t="s">
        <v>258</v>
      </c>
      <c r="B147" s="32" t="s">
        <v>151</v>
      </c>
      <c r="C147" s="32" t="s">
        <v>14</v>
      </c>
      <c r="D147" s="32" t="s">
        <v>154</v>
      </c>
      <c r="E147" s="32" t="s">
        <v>32</v>
      </c>
      <c r="F147" s="32" t="s">
        <v>106</v>
      </c>
      <c r="G147" s="32" t="s">
        <v>65</v>
      </c>
      <c r="H147" s="32" t="s">
        <v>159</v>
      </c>
      <c r="I147" s="32" t="s">
        <v>259</v>
      </c>
      <c r="J147" s="32" t="s">
        <v>0</v>
      </c>
      <c r="K147" s="32" t="s">
        <v>0</v>
      </c>
      <c r="L147" s="32" t="s">
        <v>0</v>
      </c>
      <c r="M147" s="61">
        <f>M148+M150</f>
        <v>44815589</v>
      </c>
      <c r="N147" s="61">
        <f t="shared" ref="N147:O147" si="62">N148+N150</f>
        <v>44572655.569999993</v>
      </c>
      <c r="O147" s="61">
        <f t="shared" si="62"/>
        <v>44572655.569999993</v>
      </c>
      <c r="P147" s="62">
        <f t="shared" si="57"/>
        <v>0.99457926504101046</v>
      </c>
    </row>
    <row r="148" spans="1:16" s="35" customFormat="1" ht="15" customHeight="1" x14ac:dyDescent="0.25">
      <c r="A148" s="37" t="s">
        <v>297</v>
      </c>
      <c r="B148" s="39" t="s">
        <v>0</v>
      </c>
      <c r="C148" s="39" t="s">
        <v>0</v>
      </c>
      <c r="D148" s="39" t="s">
        <v>0</v>
      </c>
      <c r="E148" s="39" t="s">
        <v>0</v>
      </c>
      <c r="F148" s="39" t="s">
        <v>0</v>
      </c>
      <c r="G148" s="39" t="s">
        <v>0</v>
      </c>
      <c r="H148" s="39" t="s">
        <v>0</v>
      </c>
      <c r="I148" s="39" t="s">
        <v>0</v>
      </c>
      <c r="J148" s="39" t="s">
        <v>0</v>
      </c>
      <c r="K148" s="39" t="s">
        <v>0</v>
      </c>
      <c r="L148" s="39" t="s">
        <v>0</v>
      </c>
      <c r="M148" s="61">
        <f>M149</f>
        <v>34362886</v>
      </c>
      <c r="N148" s="61">
        <f t="shared" ref="N148:O148" si="63">N149</f>
        <v>34344885.979999997</v>
      </c>
      <c r="O148" s="61">
        <f t="shared" si="63"/>
        <v>34344885.979999997</v>
      </c>
      <c r="P148" s="62">
        <f t="shared" si="57"/>
        <v>0.99947617845602366</v>
      </c>
    </row>
    <row r="149" spans="1:16" ht="80.099999999999994" customHeight="1" x14ac:dyDescent="0.25">
      <c r="A149" s="70" t="s">
        <v>355</v>
      </c>
      <c r="B149" s="71" t="s">
        <v>151</v>
      </c>
      <c r="C149" s="71" t="s">
        <v>14</v>
      </c>
      <c r="D149" s="71" t="s">
        <v>154</v>
      </c>
      <c r="E149" s="71" t="s">
        <v>32</v>
      </c>
      <c r="F149" s="71" t="s">
        <v>106</v>
      </c>
      <c r="G149" s="71" t="s">
        <v>65</v>
      </c>
      <c r="H149" s="71" t="s">
        <v>159</v>
      </c>
      <c r="I149" s="71" t="s">
        <v>259</v>
      </c>
      <c r="J149" s="72" t="s">
        <v>161</v>
      </c>
      <c r="K149" s="72" t="s">
        <v>356</v>
      </c>
      <c r="L149" s="72" t="s">
        <v>53</v>
      </c>
      <c r="M149" s="73">
        <v>34362886</v>
      </c>
      <c r="N149" s="73">
        <v>34344885.979999997</v>
      </c>
      <c r="O149" s="73">
        <v>34344885.979999997</v>
      </c>
      <c r="P149" s="74">
        <f t="shared" si="57"/>
        <v>0.99947617845602366</v>
      </c>
    </row>
    <row r="150" spans="1:16" s="35" customFormat="1" ht="32.25" customHeight="1" x14ac:dyDescent="0.25">
      <c r="A150" s="76" t="s">
        <v>280</v>
      </c>
      <c r="B150" s="77" t="s">
        <v>0</v>
      </c>
      <c r="C150" s="77" t="s">
        <v>0</v>
      </c>
      <c r="D150" s="77" t="s">
        <v>0</v>
      </c>
      <c r="E150" s="77" t="s">
        <v>0</v>
      </c>
      <c r="F150" s="77" t="s">
        <v>0</v>
      </c>
      <c r="G150" s="77" t="s">
        <v>0</v>
      </c>
      <c r="H150" s="77" t="s">
        <v>0</v>
      </c>
      <c r="I150" s="77" t="s">
        <v>0</v>
      </c>
      <c r="J150" s="77" t="s">
        <v>0</v>
      </c>
      <c r="K150" s="77" t="s">
        <v>0</v>
      </c>
      <c r="L150" s="77" t="s">
        <v>0</v>
      </c>
      <c r="M150" s="78">
        <f>M151</f>
        <v>10452703</v>
      </c>
      <c r="N150" s="78">
        <f t="shared" ref="N150:O150" si="64">N151</f>
        <v>10227769.59</v>
      </c>
      <c r="O150" s="78">
        <f t="shared" si="64"/>
        <v>10227769.59</v>
      </c>
      <c r="P150" s="79">
        <f t="shared" si="57"/>
        <v>0.97848083792297547</v>
      </c>
    </row>
    <row r="151" spans="1:16" ht="64.5" customHeight="1" x14ac:dyDescent="0.25">
      <c r="A151" s="70" t="s">
        <v>357</v>
      </c>
      <c r="B151" s="71" t="s">
        <v>151</v>
      </c>
      <c r="C151" s="71" t="s">
        <v>14</v>
      </c>
      <c r="D151" s="71" t="s">
        <v>154</v>
      </c>
      <c r="E151" s="71" t="s">
        <v>32</v>
      </c>
      <c r="F151" s="71" t="s">
        <v>106</v>
      </c>
      <c r="G151" s="71" t="s">
        <v>65</v>
      </c>
      <c r="H151" s="71" t="s">
        <v>159</v>
      </c>
      <c r="I151" s="71" t="s">
        <v>259</v>
      </c>
      <c r="J151" s="72" t="s">
        <v>161</v>
      </c>
      <c r="K151" s="72" t="s">
        <v>358</v>
      </c>
      <c r="L151" s="72" t="s">
        <v>53</v>
      </c>
      <c r="M151" s="73">
        <v>10452703</v>
      </c>
      <c r="N151" s="73">
        <v>10227769.59</v>
      </c>
      <c r="O151" s="73">
        <v>10227769.59</v>
      </c>
      <c r="P151" s="74">
        <f t="shared" si="57"/>
        <v>0.97848083792297547</v>
      </c>
    </row>
    <row r="152" spans="1:16" s="35" customFormat="1" ht="15" customHeight="1" x14ac:dyDescent="0.25">
      <c r="A152" s="36" t="s">
        <v>47</v>
      </c>
      <c r="B152" s="32" t="s">
        <v>151</v>
      </c>
      <c r="C152" s="32" t="s">
        <v>14</v>
      </c>
      <c r="D152" s="32" t="s">
        <v>154</v>
      </c>
      <c r="E152" s="32" t="s">
        <v>32</v>
      </c>
      <c r="F152" s="32" t="s">
        <v>48</v>
      </c>
      <c r="G152" s="32" t="s">
        <v>0</v>
      </c>
      <c r="H152" s="32" t="s">
        <v>0</v>
      </c>
      <c r="I152" s="32" t="s">
        <v>0</v>
      </c>
      <c r="J152" s="32" t="s">
        <v>0</v>
      </c>
      <c r="K152" s="32" t="s">
        <v>0</v>
      </c>
      <c r="L152" s="32" t="s">
        <v>0</v>
      </c>
      <c r="M152" s="61">
        <f>M153</f>
        <v>24717930.030000005</v>
      </c>
      <c r="N152" s="61">
        <f t="shared" ref="N152:O154" si="65">N153</f>
        <v>24489430.870000005</v>
      </c>
      <c r="O152" s="61">
        <f t="shared" si="65"/>
        <v>24489430.870000005</v>
      </c>
      <c r="P152" s="62">
        <f t="shared" si="57"/>
        <v>0.99075573238848591</v>
      </c>
    </row>
    <row r="153" spans="1:16" s="35" customFormat="1" ht="15" customHeight="1" x14ac:dyDescent="0.25">
      <c r="A153" s="36" t="s">
        <v>49</v>
      </c>
      <c r="B153" s="32" t="s">
        <v>151</v>
      </c>
      <c r="C153" s="32" t="s">
        <v>14</v>
      </c>
      <c r="D153" s="32" t="s">
        <v>154</v>
      </c>
      <c r="E153" s="32" t="s">
        <v>32</v>
      </c>
      <c r="F153" s="32" t="s">
        <v>48</v>
      </c>
      <c r="G153" s="32" t="s">
        <v>28</v>
      </c>
      <c r="H153" s="32" t="s">
        <v>0</v>
      </c>
      <c r="I153" s="32" t="s">
        <v>0</v>
      </c>
      <c r="J153" s="32" t="s">
        <v>0</v>
      </c>
      <c r="K153" s="32" t="s">
        <v>0</v>
      </c>
      <c r="L153" s="32" t="s">
        <v>0</v>
      </c>
      <c r="M153" s="61">
        <f>M154</f>
        <v>24717930.030000005</v>
      </c>
      <c r="N153" s="61">
        <f t="shared" si="65"/>
        <v>24489430.870000005</v>
      </c>
      <c r="O153" s="61">
        <f t="shared" si="65"/>
        <v>24489430.870000005</v>
      </c>
      <c r="P153" s="62">
        <f t="shared" si="57"/>
        <v>0.99075573238848591</v>
      </c>
    </row>
    <row r="154" spans="1:16" s="35" customFormat="1" ht="32.25" customHeight="1" x14ac:dyDescent="0.25">
      <c r="A154" s="37" t="s">
        <v>158</v>
      </c>
      <c r="B154" s="32" t="s">
        <v>151</v>
      </c>
      <c r="C154" s="32" t="s">
        <v>14</v>
      </c>
      <c r="D154" s="32" t="s">
        <v>154</v>
      </c>
      <c r="E154" s="32" t="s">
        <v>32</v>
      </c>
      <c r="F154" s="32" t="s">
        <v>48</v>
      </c>
      <c r="G154" s="32" t="s">
        <v>28</v>
      </c>
      <c r="H154" s="32" t="s">
        <v>159</v>
      </c>
      <c r="I154" s="38" t="s">
        <v>0</v>
      </c>
      <c r="J154" s="38" t="s">
        <v>0</v>
      </c>
      <c r="K154" s="38" t="s">
        <v>0</v>
      </c>
      <c r="L154" s="38" t="s">
        <v>0</v>
      </c>
      <c r="M154" s="61">
        <f>M155</f>
        <v>24717930.030000005</v>
      </c>
      <c r="N154" s="61">
        <f t="shared" si="65"/>
        <v>24489430.870000005</v>
      </c>
      <c r="O154" s="61">
        <f t="shared" si="65"/>
        <v>24489430.870000005</v>
      </c>
      <c r="P154" s="62">
        <f t="shared" si="57"/>
        <v>0.99075573238848591</v>
      </c>
    </row>
    <row r="155" spans="1:16" s="35" customFormat="1" ht="64.5" customHeight="1" x14ac:dyDescent="0.25">
      <c r="A155" s="37" t="s">
        <v>258</v>
      </c>
      <c r="B155" s="32" t="s">
        <v>151</v>
      </c>
      <c r="C155" s="32" t="s">
        <v>14</v>
      </c>
      <c r="D155" s="32" t="s">
        <v>154</v>
      </c>
      <c r="E155" s="32" t="s">
        <v>32</v>
      </c>
      <c r="F155" s="32" t="s">
        <v>48</v>
      </c>
      <c r="G155" s="32" t="s">
        <v>28</v>
      </c>
      <c r="H155" s="32" t="s">
        <v>159</v>
      </c>
      <c r="I155" s="32" t="s">
        <v>259</v>
      </c>
      <c r="J155" s="32" t="s">
        <v>0</v>
      </c>
      <c r="K155" s="32" t="s">
        <v>0</v>
      </c>
      <c r="L155" s="32" t="s">
        <v>0</v>
      </c>
      <c r="M155" s="61">
        <f>M156+M158+M161</f>
        <v>24717930.030000005</v>
      </c>
      <c r="N155" s="61">
        <f t="shared" ref="N155:O155" si="66">N156+N158+N161</f>
        <v>24489430.870000005</v>
      </c>
      <c r="O155" s="61">
        <f t="shared" si="66"/>
        <v>24489430.870000005</v>
      </c>
      <c r="P155" s="62">
        <f t="shared" si="57"/>
        <v>0.99075573238848591</v>
      </c>
    </row>
    <row r="156" spans="1:16" s="35" customFormat="1" ht="15" customHeight="1" x14ac:dyDescent="0.25">
      <c r="A156" s="37" t="s">
        <v>293</v>
      </c>
      <c r="B156" s="39" t="s">
        <v>0</v>
      </c>
      <c r="C156" s="39" t="s">
        <v>0</v>
      </c>
      <c r="D156" s="39" t="s">
        <v>0</v>
      </c>
      <c r="E156" s="39" t="s">
        <v>0</v>
      </c>
      <c r="F156" s="39" t="s">
        <v>0</v>
      </c>
      <c r="G156" s="39" t="s">
        <v>0</v>
      </c>
      <c r="H156" s="39" t="s">
        <v>0</v>
      </c>
      <c r="I156" s="39" t="s">
        <v>0</v>
      </c>
      <c r="J156" s="39" t="s">
        <v>0</v>
      </c>
      <c r="K156" s="39" t="s">
        <v>0</v>
      </c>
      <c r="L156" s="39" t="s">
        <v>0</v>
      </c>
      <c r="M156" s="61">
        <f>M157</f>
        <v>21759705.620000005</v>
      </c>
      <c r="N156" s="61">
        <f t="shared" ref="N156:O156" si="67">N157</f>
        <v>21759705.620000005</v>
      </c>
      <c r="O156" s="61">
        <f t="shared" si="67"/>
        <v>21759705.620000005</v>
      </c>
      <c r="P156" s="62">
        <f t="shared" si="57"/>
        <v>1</v>
      </c>
    </row>
    <row r="157" spans="1:16" ht="32.25" customHeight="1" x14ac:dyDescent="0.25">
      <c r="A157" s="4" t="s">
        <v>359</v>
      </c>
      <c r="B157" s="5" t="s">
        <v>151</v>
      </c>
      <c r="C157" s="5" t="s">
        <v>14</v>
      </c>
      <c r="D157" s="5" t="s">
        <v>154</v>
      </c>
      <c r="E157" s="5" t="s">
        <v>32</v>
      </c>
      <c r="F157" s="5" t="s">
        <v>48</v>
      </c>
      <c r="G157" s="5" t="s">
        <v>28</v>
      </c>
      <c r="H157" s="5" t="s">
        <v>159</v>
      </c>
      <c r="I157" s="5" t="s">
        <v>259</v>
      </c>
      <c r="J157" s="6" t="s">
        <v>161</v>
      </c>
      <c r="K157" s="6">
        <v>10.773</v>
      </c>
      <c r="L157" s="6" t="s">
        <v>53</v>
      </c>
      <c r="M157" s="63">
        <v>21759705.620000005</v>
      </c>
      <c r="N157" s="63">
        <v>21759705.620000005</v>
      </c>
      <c r="O157" s="63">
        <v>21759705.620000005</v>
      </c>
      <c r="P157" s="64">
        <f t="shared" si="57"/>
        <v>1</v>
      </c>
    </row>
    <row r="158" spans="1:16" s="35" customFormat="1" ht="15" customHeight="1" x14ac:dyDescent="0.25">
      <c r="A158" s="37" t="s">
        <v>360</v>
      </c>
      <c r="B158" s="39" t="s">
        <v>0</v>
      </c>
      <c r="C158" s="39" t="s">
        <v>0</v>
      </c>
      <c r="D158" s="39" t="s">
        <v>0</v>
      </c>
      <c r="E158" s="39" t="s">
        <v>0</v>
      </c>
      <c r="F158" s="39" t="s">
        <v>0</v>
      </c>
      <c r="G158" s="39" t="s">
        <v>0</v>
      </c>
      <c r="H158" s="39" t="s">
        <v>0</v>
      </c>
      <c r="I158" s="39" t="s">
        <v>0</v>
      </c>
      <c r="J158" s="39" t="s">
        <v>0</v>
      </c>
      <c r="K158" s="39" t="s">
        <v>0</v>
      </c>
      <c r="L158" s="39" t="s">
        <v>0</v>
      </c>
      <c r="M158" s="61">
        <f>M159+M160</f>
        <v>1447246.15</v>
      </c>
      <c r="N158" s="61">
        <f t="shared" ref="N158:O158" si="68">N159+N160</f>
        <v>1447246.15</v>
      </c>
      <c r="O158" s="61">
        <f t="shared" si="68"/>
        <v>1447246.15</v>
      </c>
      <c r="P158" s="62">
        <f t="shared" si="57"/>
        <v>1</v>
      </c>
    </row>
    <row r="159" spans="1:16" ht="48.9" customHeight="1" x14ac:dyDescent="0.25">
      <c r="A159" s="4" t="s">
        <v>361</v>
      </c>
      <c r="B159" s="5" t="s">
        <v>151</v>
      </c>
      <c r="C159" s="5" t="s">
        <v>14</v>
      </c>
      <c r="D159" s="5" t="s">
        <v>154</v>
      </c>
      <c r="E159" s="5" t="s">
        <v>32</v>
      </c>
      <c r="F159" s="5" t="s">
        <v>48</v>
      </c>
      <c r="G159" s="5" t="s">
        <v>28</v>
      </c>
      <c r="H159" s="5" t="s">
        <v>159</v>
      </c>
      <c r="I159" s="5" t="s">
        <v>259</v>
      </c>
      <c r="J159" s="6" t="s">
        <v>161</v>
      </c>
      <c r="K159" s="6" t="s">
        <v>362</v>
      </c>
      <c r="L159" s="6" t="s">
        <v>53</v>
      </c>
      <c r="M159" s="63">
        <v>729596.2</v>
      </c>
      <c r="N159" s="63">
        <v>729596.2</v>
      </c>
      <c r="O159" s="63">
        <v>729596.2</v>
      </c>
      <c r="P159" s="64">
        <f t="shared" si="57"/>
        <v>1</v>
      </c>
    </row>
    <row r="160" spans="1:16" ht="48.9" customHeight="1" x14ac:dyDescent="0.25">
      <c r="A160" s="4" t="s">
        <v>363</v>
      </c>
      <c r="B160" s="5" t="s">
        <v>151</v>
      </c>
      <c r="C160" s="5" t="s">
        <v>14</v>
      </c>
      <c r="D160" s="5" t="s">
        <v>154</v>
      </c>
      <c r="E160" s="5" t="s">
        <v>32</v>
      </c>
      <c r="F160" s="5" t="s">
        <v>48</v>
      </c>
      <c r="G160" s="5" t="s">
        <v>28</v>
      </c>
      <c r="H160" s="5" t="s">
        <v>159</v>
      </c>
      <c r="I160" s="5" t="s">
        <v>259</v>
      </c>
      <c r="J160" s="6" t="s">
        <v>161</v>
      </c>
      <c r="K160" s="6" t="s">
        <v>364</v>
      </c>
      <c r="L160" s="6" t="s">
        <v>53</v>
      </c>
      <c r="M160" s="63">
        <v>717649.95</v>
      </c>
      <c r="N160" s="63">
        <v>717649.95</v>
      </c>
      <c r="O160" s="63">
        <v>717649.95</v>
      </c>
      <c r="P160" s="64">
        <f t="shared" si="57"/>
        <v>1</v>
      </c>
    </row>
    <row r="161" spans="1:16" s="35" customFormat="1" ht="15" customHeight="1" x14ac:dyDescent="0.25">
      <c r="A161" s="37" t="s">
        <v>317</v>
      </c>
      <c r="B161" s="39" t="s">
        <v>0</v>
      </c>
      <c r="C161" s="39" t="s">
        <v>0</v>
      </c>
      <c r="D161" s="39" t="s">
        <v>0</v>
      </c>
      <c r="E161" s="39" t="s">
        <v>0</v>
      </c>
      <c r="F161" s="39" t="s">
        <v>0</v>
      </c>
      <c r="G161" s="39" t="s">
        <v>0</v>
      </c>
      <c r="H161" s="39" t="s">
        <v>0</v>
      </c>
      <c r="I161" s="39" t="s">
        <v>0</v>
      </c>
      <c r="J161" s="39" t="s">
        <v>0</v>
      </c>
      <c r="K161" s="39" t="s">
        <v>0</v>
      </c>
      <c r="L161" s="39" t="s">
        <v>0</v>
      </c>
      <c r="M161" s="61">
        <f>M162</f>
        <v>1510978.26</v>
      </c>
      <c r="N161" s="61">
        <f t="shared" ref="N161:O161" si="69">N162</f>
        <v>1282479.1000000001</v>
      </c>
      <c r="O161" s="61">
        <f t="shared" si="69"/>
        <v>1282479.1000000001</v>
      </c>
      <c r="P161" s="62">
        <f t="shared" si="57"/>
        <v>0.84877402537876356</v>
      </c>
    </row>
    <row r="162" spans="1:16" ht="32.25" customHeight="1" x14ac:dyDescent="0.25">
      <c r="A162" s="4" t="s">
        <v>365</v>
      </c>
      <c r="B162" s="5" t="s">
        <v>151</v>
      </c>
      <c r="C162" s="5" t="s">
        <v>14</v>
      </c>
      <c r="D162" s="5" t="s">
        <v>154</v>
      </c>
      <c r="E162" s="5" t="s">
        <v>32</v>
      </c>
      <c r="F162" s="5" t="s">
        <v>48</v>
      </c>
      <c r="G162" s="5" t="s">
        <v>28</v>
      </c>
      <c r="H162" s="5" t="s">
        <v>159</v>
      </c>
      <c r="I162" s="5" t="s">
        <v>259</v>
      </c>
      <c r="J162" s="6" t="s">
        <v>161</v>
      </c>
      <c r="K162" s="6" t="s">
        <v>366</v>
      </c>
      <c r="L162" s="6" t="s">
        <v>53</v>
      </c>
      <c r="M162" s="63">
        <v>1510978.26</v>
      </c>
      <c r="N162" s="63">
        <v>1282479.1000000001</v>
      </c>
      <c r="O162" s="63">
        <v>1282479.1000000001</v>
      </c>
      <c r="P162" s="64">
        <f t="shared" si="57"/>
        <v>0.84877402537876356</v>
      </c>
    </row>
    <row r="163" spans="1:16" s="35" customFormat="1" ht="15" customHeight="1" x14ac:dyDescent="0.25">
      <c r="A163" s="36" t="s">
        <v>113</v>
      </c>
      <c r="B163" s="32" t="s">
        <v>151</v>
      </c>
      <c r="C163" s="32" t="s">
        <v>14</v>
      </c>
      <c r="D163" s="32" t="s">
        <v>154</v>
      </c>
      <c r="E163" s="32" t="s">
        <v>32</v>
      </c>
      <c r="F163" s="32" t="s">
        <v>114</v>
      </c>
      <c r="G163" s="32" t="s">
        <v>0</v>
      </c>
      <c r="H163" s="32" t="s">
        <v>0</v>
      </c>
      <c r="I163" s="32" t="s">
        <v>0</v>
      </c>
      <c r="J163" s="32" t="s">
        <v>0</v>
      </c>
      <c r="K163" s="32" t="s">
        <v>0</v>
      </c>
      <c r="L163" s="32" t="s">
        <v>0</v>
      </c>
      <c r="M163" s="61">
        <f>M164</f>
        <v>34751965</v>
      </c>
      <c r="N163" s="61">
        <f t="shared" ref="N163:O167" si="70">N164</f>
        <v>34655507.740000002</v>
      </c>
      <c r="O163" s="61">
        <f t="shared" si="70"/>
        <v>34655507.740000002</v>
      </c>
      <c r="P163" s="62">
        <f t="shared" si="57"/>
        <v>0.99722440846150717</v>
      </c>
    </row>
    <row r="164" spans="1:16" s="35" customFormat="1" ht="15" customHeight="1" x14ac:dyDescent="0.25">
      <c r="A164" s="36" t="s">
        <v>115</v>
      </c>
      <c r="B164" s="32" t="s">
        <v>151</v>
      </c>
      <c r="C164" s="32" t="s">
        <v>14</v>
      </c>
      <c r="D164" s="32" t="s">
        <v>154</v>
      </c>
      <c r="E164" s="32" t="s">
        <v>32</v>
      </c>
      <c r="F164" s="32" t="s">
        <v>114</v>
      </c>
      <c r="G164" s="32" t="s">
        <v>71</v>
      </c>
      <c r="H164" s="32" t="s">
        <v>0</v>
      </c>
      <c r="I164" s="32" t="s">
        <v>0</v>
      </c>
      <c r="J164" s="32" t="s">
        <v>0</v>
      </c>
      <c r="K164" s="32" t="s">
        <v>0</v>
      </c>
      <c r="L164" s="32" t="s">
        <v>0</v>
      </c>
      <c r="M164" s="61">
        <f>M165</f>
        <v>34751965</v>
      </c>
      <c r="N164" s="61">
        <f t="shared" si="70"/>
        <v>34655507.740000002</v>
      </c>
      <c r="O164" s="61">
        <f t="shared" si="70"/>
        <v>34655507.740000002</v>
      </c>
      <c r="P164" s="62">
        <f t="shared" si="57"/>
        <v>0.99722440846150717</v>
      </c>
    </row>
    <row r="165" spans="1:16" s="35" customFormat="1" ht="48.9" customHeight="1" x14ac:dyDescent="0.25">
      <c r="A165" s="37" t="s">
        <v>289</v>
      </c>
      <c r="B165" s="32" t="s">
        <v>151</v>
      </c>
      <c r="C165" s="32" t="s">
        <v>14</v>
      </c>
      <c r="D165" s="32" t="s">
        <v>154</v>
      </c>
      <c r="E165" s="32" t="s">
        <v>32</v>
      </c>
      <c r="F165" s="32" t="s">
        <v>114</v>
      </c>
      <c r="G165" s="32" t="s">
        <v>71</v>
      </c>
      <c r="H165" s="32" t="s">
        <v>290</v>
      </c>
      <c r="I165" s="38" t="s">
        <v>0</v>
      </c>
      <c r="J165" s="38" t="s">
        <v>0</v>
      </c>
      <c r="K165" s="38" t="s">
        <v>0</v>
      </c>
      <c r="L165" s="38" t="s">
        <v>0</v>
      </c>
      <c r="M165" s="61">
        <f>M166</f>
        <v>34751965</v>
      </c>
      <c r="N165" s="61">
        <f t="shared" si="70"/>
        <v>34655507.740000002</v>
      </c>
      <c r="O165" s="61">
        <f t="shared" si="70"/>
        <v>34655507.740000002</v>
      </c>
      <c r="P165" s="62">
        <f t="shared" si="57"/>
        <v>0.99722440846150717</v>
      </c>
    </row>
    <row r="166" spans="1:16" s="35" customFormat="1" ht="64.5" customHeight="1" x14ac:dyDescent="0.25">
      <c r="A166" s="37" t="s">
        <v>258</v>
      </c>
      <c r="B166" s="32" t="s">
        <v>151</v>
      </c>
      <c r="C166" s="32" t="s">
        <v>14</v>
      </c>
      <c r="D166" s="32" t="s">
        <v>154</v>
      </c>
      <c r="E166" s="32" t="s">
        <v>32</v>
      </c>
      <c r="F166" s="32" t="s">
        <v>114</v>
      </c>
      <c r="G166" s="32" t="s">
        <v>71</v>
      </c>
      <c r="H166" s="32" t="s">
        <v>290</v>
      </c>
      <c r="I166" s="32" t="s">
        <v>259</v>
      </c>
      <c r="J166" s="32" t="s">
        <v>0</v>
      </c>
      <c r="K166" s="32" t="s">
        <v>0</v>
      </c>
      <c r="L166" s="32" t="s">
        <v>0</v>
      </c>
      <c r="M166" s="61">
        <f>M167</f>
        <v>34751965</v>
      </c>
      <c r="N166" s="61">
        <f t="shared" si="70"/>
        <v>34655507.740000002</v>
      </c>
      <c r="O166" s="61">
        <f t="shared" si="70"/>
        <v>34655507.740000002</v>
      </c>
      <c r="P166" s="62">
        <f t="shared" si="57"/>
        <v>0.99722440846150717</v>
      </c>
    </row>
    <row r="167" spans="1:16" s="35" customFormat="1" ht="48.9" customHeight="1" x14ac:dyDescent="0.25">
      <c r="A167" s="37" t="s">
        <v>367</v>
      </c>
      <c r="B167" s="39" t="s">
        <v>0</v>
      </c>
      <c r="C167" s="39" t="s">
        <v>0</v>
      </c>
      <c r="D167" s="39" t="s">
        <v>0</v>
      </c>
      <c r="E167" s="39" t="s">
        <v>0</v>
      </c>
      <c r="F167" s="39" t="s">
        <v>0</v>
      </c>
      <c r="G167" s="39" t="s">
        <v>0</v>
      </c>
      <c r="H167" s="39" t="s">
        <v>0</v>
      </c>
      <c r="I167" s="39" t="s">
        <v>0</v>
      </c>
      <c r="J167" s="39" t="s">
        <v>0</v>
      </c>
      <c r="K167" s="39" t="s">
        <v>0</v>
      </c>
      <c r="L167" s="39" t="s">
        <v>0</v>
      </c>
      <c r="M167" s="61">
        <f>M168</f>
        <v>34751965</v>
      </c>
      <c r="N167" s="61">
        <f t="shared" si="70"/>
        <v>34655507.740000002</v>
      </c>
      <c r="O167" s="61">
        <f t="shared" si="70"/>
        <v>34655507.740000002</v>
      </c>
      <c r="P167" s="62">
        <f t="shared" si="57"/>
        <v>0.99722440846150717</v>
      </c>
    </row>
    <row r="168" spans="1:16" ht="32.25" customHeight="1" x14ac:dyDescent="0.25">
      <c r="A168" s="4" t="s">
        <v>368</v>
      </c>
      <c r="B168" s="5" t="s">
        <v>151</v>
      </c>
      <c r="C168" s="5" t="s">
        <v>14</v>
      </c>
      <c r="D168" s="5" t="s">
        <v>154</v>
      </c>
      <c r="E168" s="5" t="s">
        <v>32</v>
      </c>
      <c r="F168" s="5" t="s">
        <v>114</v>
      </c>
      <c r="G168" s="5" t="s">
        <v>71</v>
      </c>
      <c r="H168" s="5" t="s">
        <v>290</v>
      </c>
      <c r="I168" s="5" t="s">
        <v>259</v>
      </c>
      <c r="J168" s="6" t="s">
        <v>73</v>
      </c>
      <c r="K168" s="6" t="s">
        <v>78</v>
      </c>
      <c r="L168" s="6" t="s">
        <v>53</v>
      </c>
      <c r="M168" s="63">
        <v>34751965</v>
      </c>
      <c r="N168" s="63">
        <v>34655507.740000002</v>
      </c>
      <c r="O168" s="63">
        <v>34655507.740000002</v>
      </c>
      <c r="P168" s="64">
        <f t="shared" si="57"/>
        <v>0.99722440846150717</v>
      </c>
    </row>
    <row r="169" spans="1:16" s="35" customFormat="1" ht="80.099999999999994" customHeight="1" x14ac:dyDescent="0.25">
      <c r="A169" s="37" t="s">
        <v>177</v>
      </c>
      <c r="B169" s="32" t="s">
        <v>178</v>
      </c>
      <c r="C169" s="32" t="s">
        <v>0</v>
      </c>
      <c r="D169" s="32" t="s">
        <v>0</v>
      </c>
      <c r="E169" s="32" t="s">
        <v>0</v>
      </c>
      <c r="F169" s="32" t="s">
        <v>0</v>
      </c>
      <c r="G169" s="32" t="s">
        <v>0</v>
      </c>
      <c r="H169" s="38" t="s">
        <v>0</v>
      </c>
      <c r="I169" s="38" t="s">
        <v>0</v>
      </c>
      <c r="J169" s="38" t="s">
        <v>0</v>
      </c>
      <c r="K169" s="38" t="s">
        <v>0</v>
      </c>
      <c r="L169" s="38" t="s">
        <v>0</v>
      </c>
      <c r="M169" s="61">
        <f>M170+M181+M236+M260</f>
        <v>1079910143.24</v>
      </c>
      <c r="N169" s="61">
        <f t="shared" ref="N169:O169" si="71">N170+N181+N236+N260</f>
        <v>877519347.04000008</v>
      </c>
      <c r="O169" s="61">
        <f t="shared" si="71"/>
        <v>877519347.04000008</v>
      </c>
      <c r="P169" s="62">
        <f t="shared" si="57"/>
        <v>0.81258552161314368</v>
      </c>
    </row>
    <row r="170" spans="1:16" s="35" customFormat="1" ht="96.6" customHeight="1" x14ac:dyDescent="0.25">
      <c r="A170" s="37" t="s">
        <v>369</v>
      </c>
      <c r="B170" s="32" t="s">
        <v>178</v>
      </c>
      <c r="C170" s="32" t="s">
        <v>13</v>
      </c>
      <c r="D170" s="32" t="s">
        <v>0</v>
      </c>
      <c r="E170" s="32" t="s">
        <v>0</v>
      </c>
      <c r="F170" s="32" t="s">
        <v>0</v>
      </c>
      <c r="G170" s="32" t="s">
        <v>0</v>
      </c>
      <c r="H170" s="38" t="s">
        <v>0</v>
      </c>
      <c r="I170" s="38" t="s">
        <v>0</v>
      </c>
      <c r="J170" s="38" t="s">
        <v>0</v>
      </c>
      <c r="K170" s="38" t="s">
        <v>0</v>
      </c>
      <c r="L170" s="38" t="s">
        <v>0</v>
      </c>
      <c r="M170" s="61">
        <f t="shared" ref="M170:O175" si="72">M171</f>
        <v>15805150.48</v>
      </c>
      <c r="N170" s="61">
        <f t="shared" si="72"/>
        <v>15796600.469999999</v>
      </c>
      <c r="O170" s="61">
        <f t="shared" si="72"/>
        <v>15796600.469999999</v>
      </c>
      <c r="P170" s="62">
        <f t="shared" si="57"/>
        <v>0.99945903646973677</v>
      </c>
    </row>
    <row r="171" spans="1:16" s="35" customFormat="1" ht="48.9" customHeight="1" x14ac:dyDescent="0.25">
      <c r="A171" s="37" t="s">
        <v>370</v>
      </c>
      <c r="B171" s="32" t="s">
        <v>178</v>
      </c>
      <c r="C171" s="32" t="s">
        <v>13</v>
      </c>
      <c r="D171" s="32" t="s">
        <v>151</v>
      </c>
      <c r="E171" s="32" t="s">
        <v>0</v>
      </c>
      <c r="F171" s="32" t="s">
        <v>0</v>
      </c>
      <c r="G171" s="32" t="s">
        <v>0</v>
      </c>
      <c r="H171" s="38" t="s">
        <v>0</v>
      </c>
      <c r="I171" s="38" t="s">
        <v>0</v>
      </c>
      <c r="J171" s="38" t="s">
        <v>0</v>
      </c>
      <c r="K171" s="38" t="s">
        <v>0</v>
      </c>
      <c r="L171" s="38" t="s">
        <v>0</v>
      </c>
      <c r="M171" s="61">
        <f t="shared" si="72"/>
        <v>15805150.48</v>
      </c>
      <c r="N171" s="61">
        <f t="shared" si="72"/>
        <v>15796600.469999999</v>
      </c>
      <c r="O171" s="61">
        <f t="shared" si="72"/>
        <v>15796600.469999999</v>
      </c>
      <c r="P171" s="62">
        <f t="shared" si="57"/>
        <v>0.99945903646973677</v>
      </c>
    </row>
    <row r="172" spans="1:16" s="35" customFormat="1" ht="32.25" customHeight="1" x14ac:dyDescent="0.25">
      <c r="A172" s="37" t="s">
        <v>31</v>
      </c>
      <c r="B172" s="32" t="s">
        <v>178</v>
      </c>
      <c r="C172" s="32" t="s">
        <v>13</v>
      </c>
      <c r="D172" s="32" t="s">
        <v>151</v>
      </c>
      <c r="E172" s="32" t="s">
        <v>32</v>
      </c>
      <c r="F172" s="32" t="s">
        <v>0</v>
      </c>
      <c r="G172" s="32" t="s">
        <v>0</v>
      </c>
      <c r="H172" s="38" t="s">
        <v>0</v>
      </c>
      <c r="I172" s="38" t="s">
        <v>0</v>
      </c>
      <c r="J172" s="38" t="s">
        <v>0</v>
      </c>
      <c r="K172" s="38" t="s">
        <v>0</v>
      </c>
      <c r="L172" s="38" t="s">
        <v>0</v>
      </c>
      <c r="M172" s="61">
        <f t="shared" si="72"/>
        <v>15805150.48</v>
      </c>
      <c r="N172" s="61">
        <f t="shared" si="72"/>
        <v>15796600.469999999</v>
      </c>
      <c r="O172" s="61">
        <f t="shared" si="72"/>
        <v>15796600.469999999</v>
      </c>
      <c r="P172" s="62">
        <f t="shared" si="57"/>
        <v>0.99945903646973677</v>
      </c>
    </row>
    <row r="173" spans="1:16" s="35" customFormat="1" ht="15" customHeight="1" x14ac:dyDescent="0.25">
      <c r="A173" s="36" t="s">
        <v>47</v>
      </c>
      <c r="B173" s="32" t="s">
        <v>178</v>
      </c>
      <c r="C173" s="32" t="s">
        <v>13</v>
      </c>
      <c r="D173" s="32" t="s">
        <v>151</v>
      </c>
      <c r="E173" s="32" t="s">
        <v>32</v>
      </c>
      <c r="F173" s="32" t="s">
        <v>48</v>
      </c>
      <c r="G173" s="32" t="s">
        <v>0</v>
      </c>
      <c r="H173" s="32" t="s">
        <v>0</v>
      </c>
      <c r="I173" s="32" t="s">
        <v>0</v>
      </c>
      <c r="J173" s="32" t="s">
        <v>0</v>
      </c>
      <c r="K173" s="32" t="s">
        <v>0</v>
      </c>
      <c r="L173" s="32" t="s">
        <v>0</v>
      </c>
      <c r="M173" s="61">
        <f t="shared" si="72"/>
        <v>15805150.48</v>
      </c>
      <c r="N173" s="61">
        <f t="shared" si="72"/>
        <v>15796600.469999999</v>
      </c>
      <c r="O173" s="61">
        <f t="shared" si="72"/>
        <v>15796600.469999999</v>
      </c>
      <c r="P173" s="62">
        <f t="shared" si="57"/>
        <v>0.99945903646973677</v>
      </c>
    </row>
    <row r="174" spans="1:16" s="35" customFormat="1" ht="15" customHeight="1" x14ac:dyDescent="0.25">
      <c r="A174" s="36" t="s">
        <v>49</v>
      </c>
      <c r="B174" s="32" t="s">
        <v>178</v>
      </c>
      <c r="C174" s="32" t="s">
        <v>13</v>
      </c>
      <c r="D174" s="32" t="s">
        <v>151</v>
      </c>
      <c r="E174" s="32" t="s">
        <v>32</v>
      </c>
      <c r="F174" s="32" t="s">
        <v>48</v>
      </c>
      <c r="G174" s="32" t="s">
        <v>28</v>
      </c>
      <c r="H174" s="32" t="s">
        <v>0</v>
      </c>
      <c r="I174" s="32" t="s">
        <v>0</v>
      </c>
      <c r="J174" s="32" t="s">
        <v>0</v>
      </c>
      <c r="K174" s="32" t="s">
        <v>0</v>
      </c>
      <c r="L174" s="32" t="s">
        <v>0</v>
      </c>
      <c r="M174" s="61">
        <f t="shared" si="72"/>
        <v>15805150.48</v>
      </c>
      <c r="N174" s="61">
        <f t="shared" si="72"/>
        <v>15796600.469999999</v>
      </c>
      <c r="O174" s="61">
        <f t="shared" si="72"/>
        <v>15796600.469999999</v>
      </c>
      <c r="P174" s="62">
        <f t="shared" si="57"/>
        <v>0.99945903646973677</v>
      </c>
    </row>
    <row r="175" spans="1:16" s="35" customFormat="1" ht="48.9" customHeight="1" x14ac:dyDescent="0.25">
      <c r="A175" s="37" t="s">
        <v>289</v>
      </c>
      <c r="B175" s="32" t="s">
        <v>178</v>
      </c>
      <c r="C175" s="32" t="s">
        <v>13</v>
      </c>
      <c r="D175" s="32" t="s">
        <v>151</v>
      </c>
      <c r="E175" s="32" t="s">
        <v>32</v>
      </c>
      <c r="F175" s="32" t="s">
        <v>48</v>
      </c>
      <c r="G175" s="32" t="s">
        <v>28</v>
      </c>
      <c r="H175" s="32" t="s">
        <v>290</v>
      </c>
      <c r="I175" s="38" t="s">
        <v>0</v>
      </c>
      <c r="J175" s="38" t="s">
        <v>0</v>
      </c>
      <c r="K175" s="38" t="s">
        <v>0</v>
      </c>
      <c r="L175" s="38" t="s">
        <v>0</v>
      </c>
      <c r="M175" s="61">
        <f t="shared" si="72"/>
        <v>15805150.48</v>
      </c>
      <c r="N175" s="61">
        <f t="shared" si="72"/>
        <v>15796600.469999999</v>
      </c>
      <c r="O175" s="61">
        <f t="shared" si="72"/>
        <v>15796600.469999999</v>
      </c>
      <c r="P175" s="62">
        <f t="shared" si="57"/>
        <v>0.99945903646973677</v>
      </c>
    </row>
    <row r="176" spans="1:16" s="35" customFormat="1" ht="64.5" customHeight="1" x14ac:dyDescent="0.25">
      <c r="A176" s="37" t="s">
        <v>258</v>
      </c>
      <c r="B176" s="32" t="s">
        <v>178</v>
      </c>
      <c r="C176" s="32" t="s">
        <v>13</v>
      </c>
      <c r="D176" s="32" t="s">
        <v>151</v>
      </c>
      <c r="E176" s="32" t="s">
        <v>32</v>
      </c>
      <c r="F176" s="32" t="s">
        <v>48</v>
      </c>
      <c r="G176" s="32" t="s">
        <v>28</v>
      </c>
      <c r="H176" s="32" t="s">
        <v>290</v>
      </c>
      <c r="I176" s="32" t="s">
        <v>259</v>
      </c>
      <c r="J176" s="32" t="s">
        <v>0</v>
      </c>
      <c r="K176" s="32" t="s">
        <v>0</v>
      </c>
      <c r="L176" s="32" t="s">
        <v>0</v>
      </c>
      <c r="M176" s="61">
        <f>M177+M179</f>
        <v>15805150.48</v>
      </c>
      <c r="N176" s="61">
        <f t="shared" ref="N176:O176" si="73">N177+N179</f>
        <v>15796600.469999999</v>
      </c>
      <c r="O176" s="61">
        <f t="shared" si="73"/>
        <v>15796600.469999999</v>
      </c>
      <c r="P176" s="62">
        <f t="shared" si="57"/>
        <v>0.99945903646973677</v>
      </c>
    </row>
    <row r="177" spans="1:16" s="35" customFormat="1" ht="32.25" customHeight="1" x14ac:dyDescent="0.25">
      <c r="A177" s="37" t="s">
        <v>371</v>
      </c>
      <c r="B177" s="39" t="s">
        <v>0</v>
      </c>
      <c r="C177" s="39" t="s">
        <v>0</v>
      </c>
      <c r="D177" s="39" t="s">
        <v>0</v>
      </c>
      <c r="E177" s="39" t="s">
        <v>0</v>
      </c>
      <c r="F177" s="39" t="s">
        <v>0</v>
      </c>
      <c r="G177" s="39" t="s">
        <v>0</v>
      </c>
      <c r="H177" s="39" t="s">
        <v>0</v>
      </c>
      <c r="I177" s="39" t="s">
        <v>0</v>
      </c>
      <c r="J177" s="39" t="s">
        <v>0</v>
      </c>
      <c r="K177" s="39" t="s">
        <v>0</v>
      </c>
      <c r="L177" s="39" t="s">
        <v>0</v>
      </c>
      <c r="M177" s="61">
        <f>M178</f>
        <v>5981997.7800000003</v>
      </c>
      <c r="N177" s="61">
        <f t="shared" ref="N177:O177" si="74">N178</f>
        <v>5973447.7800000003</v>
      </c>
      <c r="O177" s="61">
        <f t="shared" si="74"/>
        <v>5973447.7800000003</v>
      </c>
      <c r="P177" s="62">
        <f t="shared" si="57"/>
        <v>0.99857071160598121</v>
      </c>
    </row>
    <row r="178" spans="1:16" ht="32.25" customHeight="1" x14ac:dyDescent="0.25">
      <c r="A178" s="4" t="s">
        <v>372</v>
      </c>
      <c r="B178" s="5" t="s">
        <v>178</v>
      </c>
      <c r="C178" s="5" t="s">
        <v>13</v>
      </c>
      <c r="D178" s="5" t="s">
        <v>151</v>
      </c>
      <c r="E178" s="5" t="s">
        <v>32</v>
      </c>
      <c r="F178" s="5" t="s">
        <v>48</v>
      </c>
      <c r="G178" s="5" t="s">
        <v>28</v>
      </c>
      <c r="H178" s="5" t="s">
        <v>290</v>
      </c>
      <c r="I178" s="5" t="s">
        <v>259</v>
      </c>
      <c r="J178" s="6" t="s">
        <v>276</v>
      </c>
      <c r="K178" s="6" t="s">
        <v>13</v>
      </c>
      <c r="L178" s="6" t="s">
        <v>53</v>
      </c>
      <c r="M178" s="63">
        <v>5981997.7800000003</v>
      </c>
      <c r="N178" s="63">
        <v>5973447.7800000003</v>
      </c>
      <c r="O178" s="63">
        <v>5973447.7800000003</v>
      </c>
      <c r="P178" s="64">
        <f t="shared" si="57"/>
        <v>0.99857071160598121</v>
      </c>
    </row>
    <row r="179" spans="1:16" s="35" customFormat="1" ht="48.9" customHeight="1" x14ac:dyDescent="0.25">
      <c r="A179" s="37" t="s">
        <v>373</v>
      </c>
      <c r="B179" s="39" t="s">
        <v>0</v>
      </c>
      <c r="C179" s="39" t="s">
        <v>0</v>
      </c>
      <c r="D179" s="39" t="s">
        <v>0</v>
      </c>
      <c r="E179" s="39" t="s">
        <v>0</v>
      </c>
      <c r="F179" s="39" t="s">
        <v>0</v>
      </c>
      <c r="G179" s="39" t="s">
        <v>0</v>
      </c>
      <c r="H179" s="39" t="s">
        <v>0</v>
      </c>
      <c r="I179" s="39" t="s">
        <v>0</v>
      </c>
      <c r="J179" s="39" t="s">
        <v>0</v>
      </c>
      <c r="K179" s="39" t="s">
        <v>0</v>
      </c>
      <c r="L179" s="39" t="s">
        <v>0</v>
      </c>
      <c r="M179" s="61">
        <f>M180</f>
        <v>9823152.6999999993</v>
      </c>
      <c r="N179" s="61">
        <f t="shared" ref="N179:O179" si="75">N180</f>
        <v>9823152.6899999995</v>
      </c>
      <c r="O179" s="61">
        <f t="shared" si="75"/>
        <v>9823152.6899999995</v>
      </c>
      <c r="P179" s="62">
        <f t="shared" si="57"/>
        <v>0.99999999898199687</v>
      </c>
    </row>
    <row r="180" spans="1:16" ht="48.9" customHeight="1" x14ac:dyDescent="0.25">
      <c r="A180" s="4" t="s">
        <v>374</v>
      </c>
      <c r="B180" s="5" t="s">
        <v>178</v>
      </c>
      <c r="C180" s="5" t="s">
        <v>13</v>
      </c>
      <c r="D180" s="5" t="s">
        <v>151</v>
      </c>
      <c r="E180" s="5" t="s">
        <v>32</v>
      </c>
      <c r="F180" s="5" t="s">
        <v>48</v>
      </c>
      <c r="G180" s="5" t="s">
        <v>28</v>
      </c>
      <c r="H180" s="5" t="s">
        <v>290</v>
      </c>
      <c r="I180" s="5" t="s">
        <v>259</v>
      </c>
      <c r="J180" s="6" t="s">
        <v>161</v>
      </c>
      <c r="K180" s="6" t="s">
        <v>375</v>
      </c>
      <c r="L180" s="6" t="s">
        <v>53</v>
      </c>
      <c r="M180" s="63">
        <v>9823152.6999999993</v>
      </c>
      <c r="N180" s="63">
        <v>9823152.6899999995</v>
      </c>
      <c r="O180" s="63">
        <v>9823152.6899999995</v>
      </c>
      <c r="P180" s="64">
        <f t="shared" si="57"/>
        <v>0.99999999898199687</v>
      </c>
    </row>
    <row r="181" spans="1:16" s="35" customFormat="1" ht="64.5" customHeight="1" x14ac:dyDescent="0.25">
      <c r="A181" s="37" t="s">
        <v>179</v>
      </c>
      <c r="B181" s="32" t="s">
        <v>178</v>
      </c>
      <c r="C181" s="32" t="s">
        <v>14</v>
      </c>
      <c r="D181" s="32" t="s">
        <v>0</v>
      </c>
      <c r="E181" s="32" t="s">
        <v>0</v>
      </c>
      <c r="F181" s="32" t="s">
        <v>0</v>
      </c>
      <c r="G181" s="32" t="s">
        <v>0</v>
      </c>
      <c r="H181" s="38" t="s">
        <v>0</v>
      </c>
      <c r="I181" s="38" t="s">
        <v>0</v>
      </c>
      <c r="J181" s="38" t="s">
        <v>0</v>
      </c>
      <c r="K181" s="38" t="s">
        <v>0</v>
      </c>
      <c r="L181" s="38" t="s">
        <v>0</v>
      </c>
      <c r="M181" s="61">
        <f>M182+M201+M224</f>
        <v>257149534.32000002</v>
      </c>
      <c r="N181" s="61">
        <f t="shared" ref="N181:O181" si="76">N182+N201+N224</f>
        <v>157097335.60000002</v>
      </c>
      <c r="O181" s="61">
        <f t="shared" si="76"/>
        <v>157097335.60000002</v>
      </c>
      <c r="P181" s="62">
        <f t="shared" si="57"/>
        <v>0.61091821929767209</v>
      </c>
    </row>
    <row r="182" spans="1:16" s="35" customFormat="1" ht="48.9" customHeight="1" x14ac:dyDescent="0.25">
      <c r="A182" s="37" t="s">
        <v>376</v>
      </c>
      <c r="B182" s="32" t="s">
        <v>178</v>
      </c>
      <c r="C182" s="32" t="s">
        <v>14</v>
      </c>
      <c r="D182" s="32" t="s">
        <v>61</v>
      </c>
      <c r="E182" s="32" t="s">
        <v>0</v>
      </c>
      <c r="F182" s="32" t="s">
        <v>0</v>
      </c>
      <c r="G182" s="32" t="s">
        <v>0</v>
      </c>
      <c r="H182" s="38" t="s">
        <v>0</v>
      </c>
      <c r="I182" s="38" t="s">
        <v>0</v>
      </c>
      <c r="J182" s="38" t="s">
        <v>0</v>
      </c>
      <c r="K182" s="38" t="s">
        <v>0</v>
      </c>
      <c r="L182" s="38" t="s">
        <v>0</v>
      </c>
      <c r="M182" s="61">
        <f>M183</f>
        <v>15202104.08</v>
      </c>
      <c r="N182" s="61">
        <f t="shared" ref="N182:O186" si="77">N183</f>
        <v>15185289.08</v>
      </c>
      <c r="O182" s="61">
        <f t="shared" si="77"/>
        <v>15185289.08</v>
      </c>
      <c r="P182" s="62">
        <f t="shared" si="57"/>
        <v>0.99889390311291704</v>
      </c>
    </row>
    <row r="183" spans="1:16" s="35" customFormat="1" ht="32.25" customHeight="1" x14ac:dyDescent="0.25">
      <c r="A183" s="37" t="s">
        <v>31</v>
      </c>
      <c r="B183" s="32" t="s">
        <v>178</v>
      </c>
      <c r="C183" s="32" t="s">
        <v>14</v>
      </c>
      <c r="D183" s="32" t="s">
        <v>61</v>
      </c>
      <c r="E183" s="32" t="s">
        <v>32</v>
      </c>
      <c r="F183" s="32" t="s">
        <v>0</v>
      </c>
      <c r="G183" s="32" t="s">
        <v>0</v>
      </c>
      <c r="H183" s="38" t="s">
        <v>0</v>
      </c>
      <c r="I183" s="38" t="s">
        <v>0</v>
      </c>
      <c r="J183" s="38" t="s">
        <v>0</v>
      </c>
      <c r="K183" s="38" t="s">
        <v>0</v>
      </c>
      <c r="L183" s="38" t="s">
        <v>0</v>
      </c>
      <c r="M183" s="61">
        <f>M184</f>
        <v>15202104.08</v>
      </c>
      <c r="N183" s="61">
        <f t="shared" si="77"/>
        <v>15185289.08</v>
      </c>
      <c r="O183" s="61">
        <f t="shared" si="77"/>
        <v>15185289.08</v>
      </c>
      <c r="P183" s="62">
        <f t="shared" si="57"/>
        <v>0.99889390311291704</v>
      </c>
    </row>
    <row r="184" spans="1:16" s="35" customFormat="1" ht="15" customHeight="1" x14ac:dyDescent="0.25">
      <c r="A184" s="36" t="s">
        <v>47</v>
      </c>
      <c r="B184" s="32" t="s">
        <v>178</v>
      </c>
      <c r="C184" s="32" t="s">
        <v>14</v>
      </c>
      <c r="D184" s="32" t="s">
        <v>61</v>
      </c>
      <c r="E184" s="32" t="s">
        <v>32</v>
      </c>
      <c r="F184" s="32" t="s">
        <v>48</v>
      </c>
      <c r="G184" s="32" t="s">
        <v>0</v>
      </c>
      <c r="H184" s="32" t="s">
        <v>0</v>
      </c>
      <c r="I184" s="32" t="s">
        <v>0</v>
      </c>
      <c r="J184" s="32" t="s">
        <v>0</v>
      </c>
      <c r="K184" s="32" t="s">
        <v>0</v>
      </c>
      <c r="L184" s="32" t="s">
        <v>0</v>
      </c>
      <c r="M184" s="61">
        <f>M185</f>
        <v>15202104.08</v>
      </c>
      <c r="N184" s="61">
        <f t="shared" si="77"/>
        <v>15185289.08</v>
      </c>
      <c r="O184" s="61">
        <f t="shared" si="77"/>
        <v>15185289.08</v>
      </c>
      <c r="P184" s="62">
        <f t="shared" si="57"/>
        <v>0.99889390311291704</v>
      </c>
    </row>
    <row r="185" spans="1:16" s="35" customFormat="1" ht="15" customHeight="1" x14ac:dyDescent="0.25">
      <c r="A185" s="36" t="s">
        <v>49</v>
      </c>
      <c r="B185" s="32" t="s">
        <v>178</v>
      </c>
      <c r="C185" s="32" t="s">
        <v>14</v>
      </c>
      <c r="D185" s="32" t="s">
        <v>61</v>
      </c>
      <c r="E185" s="32" t="s">
        <v>32</v>
      </c>
      <c r="F185" s="32" t="s">
        <v>48</v>
      </c>
      <c r="G185" s="32" t="s">
        <v>28</v>
      </c>
      <c r="H185" s="32" t="s">
        <v>0</v>
      </c>
      <c r="I185" s="32" t="s">
        <v>0</v>
      </c>
      <c r="J185" s="32" t="s">
        <v>0</v>
      </c>
      <c r="K185" s="32" t="s">
        <v>0</v>
      </c>
      <c r="L185" s="32" t="s">
        <v>0</v>
      </c>
      <c r="M185" s="61">
        <f>M186</f>
        <v>15202104.08</v>
      </c>
      <c r="N185" s="61">
        <f t="shared" si="77"/>
        <v>15185289.08</v>
      </c>
      <c r="O185" s="61">
        <f t="shared" si="77"/>
        <v>15185289.08</v>
      </c>
      <c r="P185" s="62">
        <f t="shared" si="57"/>
        <v>0.99889390311291704</v>
      </c>
    </row>
    <row r="186" spans="1:16" s="35" customFormat="1" ht="48.9" customHeight="1" x14ac:dyDescent="0.25">
      <c r="A186" s="37" t="s">
        <v>289</v>
      </c>
      <c r="B186" s="32" t="s">
        <v>178</v>
      </c>
      <c r="C186" s="32" t="s">
        <v>14</v>
      </c>
      <c r="D186" s="32" t="s">
        <v>61</v>
      </c>
      <c r="E186" s="32" t="s">
        <v>32</v>
      </c>
      <c r="F186" s="32" t="s">
        <v>48</v>
      </c>
      <c r="G186" s="32" t="s">
        <v>28</v>
      </c>
      <c r="H186" s="32" t="s">
        <v>290</v>
      </c>
      <c r="I186" s="38" t="s">
        <v>0</v>
      </c>
      <c r="J186" s="38" t="s">
        <v>0</v>
      </c>
      <c r="K186" s="38" t="s">
        <v>0</v>
      </c>
      <c r="L186" s="38" t="s">
        <v>0</v>
      </c>
      <c r="M186" s="61">
        <f>M187</f>
        <v>15202104.08</v>
      </c>
      <c r="N186" s="61">
        <f t="shared" si="77"/>
        <v>15185289.08</v>
      </c>
      <c r="O186" s="61">
        <f t="shared" si="77"/>
        <v>15185289.08</v>
      </c>
      <c r="P186" s="62">
        <f t="shared" si="57"/>
        <v>0.99889390311291704</v>
      </c>
    </row>
    <row r="187" spans="1:16" s="35" customFormat="1" ht="64.5" customHeight="1" x14ac:dyDescent="0.25">
      <c r="A187" s="37" t="s">
        <v>258</v>
      </c>
      <c r="B187" s="32" t="s">
        <v>178</v>
      </c>
      <c r="C187" s="32" t="s">
        <v>14</v>
      </c>
      <c r="D187" s="32" t="s">
        <v>61</v>
      </c>
      <c r="E187" s="32" t="s">
        <v>32</v>
      </c>
      <c r="F187" s="32" t="s">
        <v>48</v>
      </c>
      <c r="G187" s="32" t="s">
        <v>28</v>
      </c>
      <c r="H187" s="32" t="s">
        <v>290</v>
      </c>
      <c r="I187" s="32" t="s">
        <v>259</v>
      </c>
      <c r="J187" s="32" t="s">
        <v>0</v>
      </c>
      <c r="K187" s="32" t="s">
        <v>0</v>
      </c>
      <c r="L187" s="32" t="s">
        <v>0</v>
      </c>
      <c r="M187" s="61">
        <f>M188+M190+M192+M194+M196+M198</f>
        <v>15202104.08</v>
      </c>
      <c r="N187" s="61">
        <f t="shared" ref="N187:O187" si="78">N188+N190+N192+N194+N196+N198</f>
        <v>15185289.08</v>
      </c>
      <c r="O187" s="61">
        <f t="shared" si="78"/>
        <v>15185289.08</v>
      </c>
      <c r="P187" s="62">
        <f t="shared" si="57"/>
        <v>0.99889390311291704</v>
      </c>
    </row>
    <row r="188" spans="1:16" s="35" customFormat="1" ht="32.25" customHeight="1" x14ac:dyDescent="0.25">
      <c r="A188" s="37" t="s">
        <v>297</v>
      </c>
      <c r="B188" s="39" t="s">
        <v>0</v>
      </c>
      <c r="C188" s="39" t="s">
        <v>0</v>
      </c>
      <c r="D188" s="39" t="s">
        <v>0</v>
      </c>
      <c r="E188" s="39" t="s">
        <v>0</v>
      </c>
      <c r="F188" s="39" t="s">
        <v>0</v>
      </c>
      <c r="G188" s="39" t="s">
        <v>0</v>
      </c>
      <c r="H188" s="39" t="s">
        <v>0</v>
      </c>
      <c r="I188" s="39" t="s">
        <v>0</v>
      </c>
      <c r="J188" s="39" t="s">
        <v>0</v>
      </c>
      <c r="K188" s="39" t="s">
        <v>0</v>
      </c>
      <c r="L188" s="39" t="s">
        <v>0</v>
      </c>
      <c r="M188" s="61">
        <f>M189</f>
        <v>1238512.1400000001</v>
      </c>
      <c r="N188" s="61">
        <f t="shared" ref="N188:O188" si="79">N189</f>
        <v>1238512.1400000001</v>
      </c>
      <c r="O188" s="61">
        <f t="shared" si="79"/>
        <v>1238512.1400000001</v>
      </c>
      <c r="P188" s="62">
        <f t="shared" si="57"/>
        <v>1</v>
      </c>
    </row>
    <row r="189" spans="1:16" ht="46.8" x14ac:dyDescent="0.25">
      <c r="A189" s="4" t="s">
        <v>511</v>
      </c>
      <c r="B189" s="5" t="s">
        <v>178</v>
      </c>
      <c r="C189" s="5" t="s">
        <v>14</v>
      </c>
      <c r="D189" s="5" t="s">
        <v>61</v>
      </c>
      <c r="E189" s="5" t="s">
        <v>32</v>
      </c>
      <c r="F189" s="5" t="s">
        <v>48</v>
      </c>
      <c r="G189" s="5" t="s">
        <v>28</v>
      </c>
      <c r="H189" s="5" t="s">
        <v>290</v>
      </c>
      <c r="I189" s="5" t="s">
        <v>259</v>
      </c>
      <c r="J189" s="6" t="s">
        <v>161</v>
      </c>
      <c r="K189" s="83">
        <v>1.0720000000000001</v>
      </c>
      <c r="L189" s="6" t="s">
        <v>53</v>
      </c>
      <c r="M189" s="63">
        <v>1238512.1400000001</v>
      </c>
      <c r="N189" s="63">
        <v>1238512.1400000001</v>
      </c>
      <c r="O189" s="63">
        <v>1238512.1400000001</v>
      </c>
      <c r="P189" s="64">
        <f t="shared" si="57"/>
        <v>1</v>
      </c>
    </row>
    <row r="190" spans="1:16" s="35" customFormat="1" ht="32.25" customHeight="1" x14ac:dyDescent="0.25">
      <c r="A190" s="37" t="s">
        <v>377</v>
      </c>
      <c r="B190" s="39" t="s">
        <v>0</v>
      </c>
      <c r="C190" s="39" t="s">
        <v>0</v>
      </c>
      <c r="D190" s="39" t="s">
        <v>0</v>
      </c>
      <c r="E190" s="39" t="s">
        <v>0</v>
      </c>
      <c r="F190" s="39" t="s">
        <v>0</v>
      </c>
      <c r="G190" s="39" t="s">
        <v>0</v>
      </c>
      <c r="H190" s="39" t="s">
        <v>0</v>
      </c>
      <c r="I190" s="39" t="s">
        <v>0</v>
      </c>
      <c r="J190" s="39" t="s">
        <v>0</v>
      </c>
      <c r="K190" s="39" t="s">
        <v>0</v>
      </c>
      <c r="L190" s="39" t="s">
        <v>0</v>
      </c>
      <c r="M190" s="61">
        <f>M191</f>
        <v>453961.35000000003</v>
      </c>
      <c r="N190" s="61">
        <f t="shared" ref="N190:O190" si="80">N191</f>
        <v>453961.35000000003</v>
      </c>
      <c r="O190" s="61">
        <f t="shared" si="80"/>
        <v>453961.35000000003</v>
      </c>
      <c r="P190" s="62">
        <f t="shared" si="57"/>
        <v>1</v>
      </c>
    </row>
    <row r="191" spans="1:16" ht="48.9" customHeight="1" x14ac:dyDescent="0.25">
      <c r="A191" s="4" t="s">
        <v>378</v>
      </c>
      <c r="B191" s="5" t="s">
        <v>178</v>
      </c>
      <c r="C191" s="5" t="s">
        <v>14</v>
      </c>
      <c r="D191" s="5" t="s">
        <v>61</v>
      </c>
      <c r="E191" s="5" t="s">
        <v>32</v>
      </c>
      <c r="F191" s="5" t="s">
        <v>48</v>
      </c>
      <c r="G191" s="5" t="s">
        <v>28</v>
      </c>
      <c r="H191" s="5" t="s">
        <v>290</v>
      </c>
      <c r="I191" s="5" t="s">
        <v>259</v>
      </c>
      <c r="J191" s="6" t="s">
        <v>161</v>
      </c>
      <c r="K191" s="6" t="s">
        <v>379</v>
      </c>
      <c r="L191" s="6" t="s">
        <v>53</v>
      </c>
      <c r="M191" s="63">
        <v>453961.35000000003</v>
      </c>
      <c r="N191" s="63">
        <v>453961.35000000003</v>
      </c>
      <c r="O191" s="63">
        <v>453961.35000000003</v>
      </c>
      <c r="P191" s="64">
        <f t="shared" si="57"/>
        <v>1</v>
      </c>
    </row>
    <row r="192" spans="1:16" s="35" customFormat="1" ht="15" customHeight="1" x14ac:dyDescent="0.25">
      <c r="A192" s="37" t="s">
        <v>317</v>
      </c>
      <c r="B192" s="39" t="s">
        <v>0</v>
      </c>
      <c r="C192" s="39" t="s">
        <v>0</v>
      </c>
      <c r="D192" s="39" t="s">
        <v>0</v>
      </c>
      <c r="E192" s="39" t="s">
        <v>0</v>
      </c>
      <c r="F192" s="39" t="s">
        <v>0</v>
      </c>
      <c r="G192" s="39" t="s">
        <v>0</v>
      </c>
      <c r="H192" s="39" t="s">
        <v>0</v>
      </c>
      <c r="I192" s="39" t="s">
        <v>0</v>
      </c>
      <c r="J192" s="39" t="s">
        <v>0</v>
      </c>
      <c r="K192" s="39" t="s">
        <v>0</v>
      </c>
      <c r="L192" s="39" t="s">
        <v>0</v>
      </c>
      <c r="M192" s="61">
        <f>M193</f>
        <v>6561414.4000000004</v>
      </c>
      <c r="N192" s="61">
        <f t="shared" ref="N192:O192" si="81">N193</f>
        <v>6561414.4000000004</v>
      </c>
      <c r="O192" s="61">
        <f t="shared" si="81"/>
        <v>6561414.4000000004</v>
      </c>
      <c r="P192" s="62">
        <f t="shared" si="57"/>
        <v>1</v>
      </c>
    </row>
    <row r="193" spans="1:16" ht="32.25" customHeight="1" x14ac:dyDescent="0.25">
      <c r="A193" s="4" t="s">
        <v>380</v>
      </c>
      <c r="B193" s="5" t="s">
        <v>178</v>
      </c>
      <c r="C193" s="5" t="s">
        <v>14</v>
      </c>
      <c r="D193" s="5" t="s">
        <v>61</v>
      </c>
      <c r="E193" s="5" t="s">
        <v>32</v>
      </c>
      <c r="F193" s="5" t="s">
        <v>48</v>
      </c>
      <c r="G193" s="5" t="s">
        <v>28</v>
      </c>
      <c r="H193" s="5" t="s">
        <v>290</v>
      </c>
      <c r="I193" s="5" t="s">
        <v>259</v>
      </c>
      <c r="J193" s="6" t="s">
        <v>161</v>
      </c>
      <c r="K193" s="6" t="s">
        <v>381</v>
      </c>
      <c r="L193" s="6" t="s">
        <v>53</v>
      </c>
      <c r="M193" s="63">
        <v>6561414.4000000004</v>
      </c>
      <c r="N193" s="63">
        <v>6561414.4000000004</v>
      </c>
      <c r="O193" s="63">
        <v>6561414.4000000004</v>
      </c>
      <c r="P193" s="64">
        <f t="shared" si="57"/>
        <v>1</v>
      </c>
    </row>
    <row r="194" spans="1:16" s="35" customFormat="1" ht="15.6" x14ac:dyDescent="0.25">
      <c r="A194" s="37" t="s">
        <v>280</v>
      </c>
      <c r="B194" s="39" t="s">
        <v>0</v>
      </c>
      <c r="C194" s="39" t="s">
        <v>0</v>
      </c>
      <c r="D194" s="39" t="s">
        <v>0</v>
      </c>
      <c r="E194" s="39" t="s">
        <v>0</v>
      </c>
      <c r="F194" s="39" t="s">
        <v>0</v>
      </c>
      <c r="G194" s="39" t="s">
        <v>0</v>
      </c>
      <c r="H194" s="39" t="s">
        <v>0</v>
      </c>
      <c r="I194" s="39" t="s">
        <v>0</v>
      </c>
      <c r="J194" s="39" t="s">
        <v>0</v>
      </c>
      <c r="K194" s="39" t="s">
        <v>0</v>
      </c>
      <c r="L194" s="39" t="s">
        <v>0</v>
      </c>
      <c r="M194" s="61">
        <f>M195</f>
        <v>2218897.38</v>
      </c>
      <c r="N194" s="61">
        <f t="shared" ref="N194:O194" si="82">N195</f>
        <v>2202082.38</v>
      </c>
      <c r="O194" s="61">
        <f t="shared" si="82"/>
        <v>2202082.38</v>
      </c>
      <c r="P194" s="62">
        <f t="shared" si="57"/>
        <v>0.99242191182361039</v>
      </c>
    </row>
    <row r="195" spans="1:16" ht="48.9" customHeight="1" x14ac:dyDescent="0.25">
      <c r="A195" s="4" t="s">
        <v>382</v>
      </c>
      <c r="B195" s="5" t="s">
        <v>178</v>
      </c>
      <c r="C195" s="5" t="s">
        <v>14</v>
      </c>
      <c r="D195" s="5" t="s">
        <v>61</v>
      </c>
      <c r="E195" s="5" t="s">
        <v>32</v>
      </c>
      <c r="F195" s="5" t="s">
        <v>48</v>
      </c>
      <c r="G195" s="5" t="s">
        <v>28</v>
      </c>
      <c r="H195" s="5" t="s">
        <v>290</v>
      </c>
      <c r="I195" s="5" t="s">
        <v>259</v>
      </c>
      <c r="J195" s="6" t="s">
        <v>161</v>
      </c>
      <c r="K195" s="6">
        <v>2.46</v>
      </c>
      <c r="L195" s="6" t="s">
        <v>53</v>
      </c>
      <c r="M195" s="63">
        <v>2218897.38</v>
      </c>
      <c r="N195" s="63">
        <v>2202082.38</v>
      </c>
      <c r="O195" s="63">
        <v>2202082.38</v>
      </c>
      <c r="P195" s="64">
        <f t="shared" si="57"/>
        <v>0.99242191182361039</v>
      </c>
    </row>
    <row r="196" spans="1:16" s="35" customFormat="1" ht="15" customHeight="1" x14ac:dyDescent="0.25">
      <c r="A196" s="37" t="s">
        <v>383</v>
      </c>
      <c r="B196" s="39" t="s">
        <v>0</v>
      </c>
      <c r="C196" s="39" t="s">
        <v>0</v>
      </c>
      <c r="D196" s="39" t="s">
        <v>0</v>
      </c>
      <c r="E196" s="39" t="s">
        <v>0</v>
      </c>
      <c r="F196" s="39" t="s">
        <v>0</v>
      </c>
      <c r="G196" s="39" t="s">
        <v>0</v>
      </c>
      <c r="H196" s="39" t="s">
        <v>0</v>
      </c>
      <c r="I196" s="39" t="s">
        <v>0</v>
      </c>
      <c r="J196" s="39" t="s">
        <v>0</v>
      </c>
      <c r="K196" s="39" t="s">
        <v>0</v>
      </c>
      <c r="L196" s="39" t="s">
        <v>0</v>
      </c>
      <c r="M196" s="61">
        <f>M197</f>
        <v>2126955.9</v>
      </c>
      <c r="N196" s="61">
        <f t="shared" ref="N196:O196" si="83">N197</f>
        <v>2126955.9</v>
      </c>
      <c r="O196" s="61">
        <f t="shared" si="83"/>
        <v>2126955.9</v>
      </c>
      <c r="P196" s="62">
        <f t="shared" si="57"/>
        <v>1</v>
      </c>
    </row>
    <row r="197" spans="1:16" ht="32.25" customHeight="1" x14ac:dyDescent="0.25">
      <c r="A197" s="4" t="s">
        <v>384</v>
      </c>
      <c r="B197" s="5" t="s">
        <v>178</v>
      </c>
      <c r="C197" s="5" t="s">
        <v>14</v>
      </c>
      <c r="D197" s="5" t="s">
        <v>61</v>
      </c>
      <c r="E197" s="5" t="s">
        <v>32</v>
      </c>
      <c r="F197" s="5" t="s">
        <v>48</v>
      </c>
      <c r="G197" s="5" t="s">
        <v>28</v>
      </c>
      <c r="H197" s="5" t="s">
        <v>290</v>
      </c>
      <c r="I197" s="5" t="s">
        <v>259</v>
      </c>
      <c r="J197" s="6" t="s">
        <v>161</v>
      </c>
      <c r="K197" s="6" t="s">
        <v>385</v>
      </c>
      <c r="L197" s="6" t="s">
        <v>53</v>
      </c>
      <c r="M197" s="63">
        <v>2126955.9</v>
      </c>
      <c r="N197" s="63">
        <v>2126955.9</v>
      </c>
      <c r="O197" s="63">
        <v>2126955.9</v>
      </c>
      <c r="P197" s="64">
        <f t="shared" si="57"/>
        <v>1</v>
      </c>
    </row>
    <row r="198" spans="1:16" s="35" customFormat="1" ht="48.9" customHeight="1" x14ac:dyDescent="0.25">
      <c r="A198" s="37" t="s">
        <v>386</v>
      </c>
      <c r="B198" s="39" t="s">
        <v>0</v>
      </c>
      <c r="C198" s="39" t="s">
        <v>0</v>
      </c>
      <c r="D198" s="39" t="s">
        <v>0</v>
      </c>
      <c r="E198" s="39" t="s">
        <v>0</v>
      </c>
      <c r="F198" s="39" t="s">
        <v>0</v>
      </c>
      <c r="G198" s="39" t="s">
        <v>0</v>
      </c>
      <c r="H198" s="39" t="s">
        <v>0</v>
      </c>
      <c r="I198" s="39" t="s">
        <v>0</v>
      </c>
      <c r="J198" s="39" t="s">
        <v>0</v>
      </c>
      <c r="K198" s="39" t="s">
        <v>0</v>
      </c>
      <c r="L198" s="39" t="s">
        <v>0</v>
      </c>
      <c r="M198" s="61">
        <f>M199+M200</f>
        <v>2602362.91</v>
      </c>
      <c r="N198" s="61">
        <f t="shared" ref="N198:O198" si="84">N199+N200</f>
        <v>2602362.91</v>
      </c>
      <c r="O198" s="61">
        <f t="shared" si="84"/>
        <v>2602362.91</v>
      </c>
      <c r="P198" s="62">
        <f t="shared" si="57"/>
        <v>1</v>
      </c>
    </row>
    <row r="199" spans="1:16" ht="32.25" customHeight="1" x14ac:dyDescent="0.25">
      <c r="A199" s="4" t="s">
        <v>387</v>
      </c>
      <c r="B199" s="5" t="s">
        <v>178</v>
      </c>
      <c r="C199" s="5" t="s">
        <v>14</v>
      </c>
      <c r="D199" s="5" t="s">
        <v>61</v>
      </c>
      <c r="E199" s="5" t="s">
        <v>32</v>
      </c>
      <c r="F199" s="5" t="s">
        <v>48</v>
      </c>
      <c r="G199" s="5" t="s">
        <v>28</v>
      </c>
      <c r="H199" s="5" t="s">
        <v>290</v>
      </c>
      <c r="I199" s="5" t="s">
        <v>259</v>
      </c>
      <c r="J199" s="6" t="s">
        <v>161</v>
      </c>
      <c r="K199" s="6" t="s">
        <v>388</v>
      </c>
      <c r="L199" s="6" t="s">
        <v>53</v>
      </c>
      <c r="M199" s="63">
        <v>820648</v>
      </c>
      <c r="N199" s="63">
        <v>820648</v>
      </c>
      <c r="O199" s="63">
        <v>820648</v>
      </c>
      <c r="P199" s="64">
        <f t="shared" ref="P199:P262" si="85">O199/M199</f>
        <v>1</v>
      </c>
    </row>
    <row r="200" spans="1:16" ht="32.25" customHeight="1" x14ac:dyDescent="0.25">
      <c r="A200" s="4" t="s">
        <v>389</v>
      </c>
      <c r="B200" s="5" t="s">
        <v>178</v>
      </c>
      <c r="C200" s="5" t="s">
        <v>14</v>
      </c>
      <c r="D200" s="5" t="s">
        <v>61</v>
      </c>
      <c r="E200" s="5" t="s">
        <v>32</v>
      </c>
      <c r="F200" s="5" t="s">
        <v>48</v>
      </c>
      <c r="G200" s="5" t="s">
        <v>28</v>
      </c>
      <c r="H200" s="5" t="s">
        <v>290</v>
      </c>
      <c r="I200" s="5" t="s">
        <v>259</v>
      </c>
      <c r="J200" s="6" t="s">
        <v>161</v>
      </c>
      <c r="K200" s="6" t="s">
        <v>390</v>
      </c>
      <c r="L200" s="6" t="s">
        <v>53</v>
      </c>
      <c r="M200" s="63">
        <v>1781714.91</v>
      </c>
      <c r="N200" s="63">
        <v>1781714.91</v>
      </c>
      <c r="O200" s="63">
        <v>1781714.91</v>
      </c>
      <c r="P200" s="64">
        <f t="shared" si="85"/>
        <v>1</v>
      </c>
    </row>
    <row r="201" spans="1:16" s="35" customFormat="1" ht="48.9" customHeight="1" x14ac:dyDescent="0.25">
      <c r="A201" s="37" t="s">
        <v>370</v>
      </c>
      <c r="B201" s="32" t="s">
        <v>178</v>
      </c>
      <c r="C201" s="32" t="s">
        <v>14</v>
      </c>
      <c r="D201" s="32" t="s">
        <v>151</v>
      </c>
      <c r="E201" s="32" t="s">
        <v>0</v>
      </c>
      <c r="F201" s="32" t="s">
        <v>0</v>
      </c>
      <c r="G201" s="32" t="s">
        <v>0</v>
      </c>
      <c r="H201" s="38" t="s">
        <v>0</v>
      </c>
      <c r="I201" s="38" t="s">
        <v>0</v>
      </c>
      <c r="J201" s="38" t="s">
        <v>0</v>
      </c>
      <c r="K201" s="38" t="s">
        <v>0</v>
      </c>
      <c r="L201" s="38" t="s">
        <v>0</v>
      </c>
      <c r="M201" s="61">
        <f>M202</f>
        <v>36397317.009999998</v>
      </c>
      <c r="N201" s="61">
        <f t="shared" ref="N201:O205" si="86">N202</f>
        <v>35061242.969999999</v>
      </c>
      <c r="O201" s="61">
        <f t="shared" si="86"/>
        <v>35061242.969999999</v>
      </c>
      <c r="P201" s="62">
        <f t="shared" si="85"/>
        <v>0.96329196353585844</v>
      </c>
    </row>
    <row r="202" spans="1:16" s="35" customFormat="1" ht="32.25" customHeight="1" x14ac:dyDescent="0.25">
      <c r="A202" s="37" t="s">
        <v>31</v>
      </c>
      <c r="B202" s="32" t="s">
        <v>178</v>
      </c>
      <c r="C202" s="32" t="s">
        <v>14</v>
      </c>
      <c r="D202" s="32" t="s">
        <v>151</v>
      </c>
      <c r="E202" s="32" t="s">
        <v>32</v>
      </c>
      <c r="F202" s="32" t="s">
        <v>0</v>
      </c>
      <c r="G202" s="32" t="s">
        <v>0</v>
      </c>
      <c r="H202" s="38" t="s">
        <v>0</v>
      </c>
      <c r="I202" s="38" t="s">
        <v>0</v>
      </c>
      <c r="J202" s="38" t="s">
        <v>0</v>
      </c>
      <c r="K202" s="38" t="s">
        <v>0</v>
      </c>
      <c r="L202" s="38" t="s">
        <v>0</v>
      </c>
      <c r="M202" s="61">
        <f>M203</f>
        <v>36397317.009999998</v>
      </c>
      <c r="N202" s="61">
        <f t="shared" si="86"/>
        <v>35061242.969999999</v>
      </c>
      <c r="O202" s="61">
        <f t="shared" si="86"/>
        <v>35061242.969999999</v>
      </c>
      <c r="P202" s="62">
        <f t="shared" si="85"/>
        <v>0.96329196353585844</v>
      </c>
    </row>
    <row r="203" spans="1:16" s="35" customFormat="1" ht="15" customHeight="1" x14ac:dyDescent="0.25">
      <c r="A203" s="36" t="s">
        <v>47</v>
      </c>
      <c r="B203" s="32" t="s">
        <v>178</v>
      </c>
      <c r="C203" s="32" t="s">
        <v>14</v>
      </c>
      <c r="D203" s="32" t="s">
        <v>151</v>
      </c>
      <c r="E203" s="32" t="s">
        <v>32</v>
      </c>
      <c r="F203" s="32" t="s">
        <v>48</v>
      </c>
      <c r="G203" s="32" t="s">
        <v>0</v>
      </c>
      <c r="H203" s="32" t="s">
        <v>0</v>
      </c>
      <c r="I203" s="32" t="s">
        <v>0</v>
      </c>
      <c r="J203" s="32" t="s">
        <v>0</v>
      </c>
      <c r="K203" s="32" t="s">
        <v>0</v>
      </c>
      <c r="L203" s="32" t="s">
        <v>0</v>
      </c>
      <c r="M203" s="61">
        <f>M204</f>
        <v>36397317.009999998</v>
      </c>
      <c r="N203" s="61">
        <f t="shared" si="86"/>
        <v>35061242.969999999</v>
      </c>
      <c r="O203" s="61">
        <f t="shared" si="86"/>
        <v>35061242.969999999</v>
      </c>
      <c r="P203" s="62">
        <f t="shared" si="85"/>
        <v>0.96329196353585844</v>
      </c>
    </row>
    <row r="204" spans="1:16" s="35" customFormat="1" ht="15" customHeight="1" x14ac:dyDescent="0.25">
      <c r="A204" s="36" t="s">
        <v>49</v>
      </c>
      <c r="B204" s="32" t="s">
        <v>178</v>
      </c>
      <c r="C204" s="32" t="s">
        <v>14</v>
      </c>
      <c r="D204" s="32" t="s">
        <v>151</v>
      </c>
      <c r="E204" s="32" t="s">
        <v>32</v>
      </c>
      <c r="F204" s="32" t="s">
        <v>48</v>
      </c>
      <c r="G204" s="32" t="s">
        <v>28</v>
      </c>
      <c r="H204" s="32" t="s">
        <v>0</v>
      </c>
      <c r="I204" s="32" t="s">
        <v>0</v>
      </c>
      <c r="J204" s="32" t="s">
        <v>0</v>
      </c>
      <c r="K204" s="32" t="s">
        <v>0</v>
      </c>
      <c r="L204" s="32" t="s">
        <v>0</v>
      </c>
      <c r="M204" s="61">
        <f>M205</f>
        <v>36397317.009999998</v>
      </c>
      <c r="N204" s="61">
        <f t="shared" si="86"/>
        <v>35061242.969999999</v>
      </c>
      <c r="O204" s="61">
        <f t="shared" si="86"/>
        <v>35061242.969999999</v>
      </c>
      <c r="P204" s="62">
        <f t="shared" si="85"/>
        <v>0.96329196353585844</v>
      </c>
    </row>
    <row r="205" spans="1:16" s="35" customFormat="1" ht="48.9" customHeight="1" x14ac:dyDescent="0.25">
      <c r="A205" s="37" t="s">
        <v>289</v>
      </c>
      <c r="B205" s="32" t="s">
        <v>178</v>
      </c>
      <c r="C205" s="32" t="s">
        <v>14</v>
      </c>
      <c r="D205" s="32" t="s">
        <v>151</v>
      </c>
      <c r="E205" s="32" t="s">
        <v>32</v>
      </c>
      <c r="F205" s="32" t="s">
        <v>48</v>
      </c>
      <c r="G205" s="32" t="s">
        <v>28</v>
      </c>
      <c r="H205" s="32" t="s">
        <v>290</v>
      </c>
      <c r="I205" s="38" t="s">
        <v>0</v>
      </c>
      <c r="J205" s="38" t="s">
        <v>0</v>
      </c>
      <c r="K205" s="38" t="s">
        <v>0</v>
      </c>
      <c r="L205" s="38" t="s">
        <v>0</v>
      </c>
      <c r="M205" s="61">
        <f>M206</f>
        <v>36397317.009999998</v>
      </c>
      <c r="N205" s="61">
        <f t="shared" si="86"/>
        <v>35061242.969999999</v>
      </c>
      <c r="O205" s="61">
        <f t="shared" si="86"/>
        <v>35061242.969999999</v>
      </c>
      <c r="P205" s="62">
        <f t="shared" si="85"/>
        <v>0.96329196353585844</v>
      </c>
    </row>
    <row r="206" spans="1:16" s="35" customFormat="1" ht="64.5" customHeight="1" x14ac:dyDescent="0.25">
      <c r="A206" s="37" t="s">
        <v>258</v>
      </c>
      <c r="B206" s="32" t="s">
        <v>178</v>
      </c>
      <c r="C206" s="32" t="s">
        <v>14</v>
      </c>
      <c r="D206" s="32" t="s">
        <v>151</v>
      </c>
      <c r="E206" s="32" t="s">
        <v>32</v>
      </c>
      <c r="F206" s="32" t="s">
        <v>48</v>
      </c>
      <c r="G206" s="32" t="s">
        <v>28</v>
      </c>
      <c r="H206" s="32" t="s">
        <v>290</v>
      </c>
      <c r="I206" s="32" t="s">
        <v>259</v>
      </c>
      <c r="J206" s="32" t="s">
        <v>0</v>
      </c>
      <c r="K206" s="32" t="s">
        <v>0</v>
      </c>
      <c r="L206" s="32" t="s">
        <v>0</v>
      </c>
      <c r="M206" s="61">
        <f>M207+M209+M212+M214+M216+M218+M221</f>
        <v>36397317.009999998</v>
      </c>
      <c r="N206" s="61">
        <f t="shared" ref="N206:O206" si="87">N207+N209+N212+N214+N216+N218+N221</f>
        <v>35061242.969999999</v>
      </c>
      <c r="O206" s="61">
        <f t="shared" si="87"/>
        <v>35061242.969999999</v>
      </c>
      <c r="P206" s="62">
        <f t="shared" si="85"/>
        <v>0.96329196353585844</v>
      </c>
    </row>
    <row r="207" spans="1:16" s="35" customFormat="1" ht="15" customHeight="1" x14ac:dyDescent="0.25">
      <c r="A207" s="37" t="s">
        <v>336</v>
      </c>
      <c r="B207" s="39" t="s">
        <v>0</v>
      </c>
      <c r="C207" s="39" t="s">
        <v>0</v>
      </c>
      <c r="D207" s="39" t="s">
        <v>0</v>
      </c>
      <c r="E207" s="39" t="s">
        <v>0</v>
      </c>
      <c r="F207" s="39" t="s">
        <v>0</v>
      </c>
      <c r="G207" s="39" t="s">
        <v>0</v>
      </c>
      <c r="H207" s="39" t="s">
        <v>0</v>
      </c>
      <c r="I207" s="39" t="s">
        <v>0</v>
      </c>
      <c r="J207" s="39" t="s">
        <v>0</v>
      </c>
      <c r="K207" s="39" t="s">
        <v>0</v>
      </c>
      <c r="L207" s="39" t="s">
        <v>0</v>
      </c>
      <c r="M207" s="61">
        <f>M208</f>
        <v>1305746.98</v>
      </c>
      <c r="N207" s="61">
        <f t="shared" ref="N207:O207" si="88">N208</f>
        <v>1305746.98</v>
      </c>
      <c r="O207" s="61">
        <f t="shared" si="88"/>
        <v>1305746.98</v>
      </c>
      <c r="P207" s="62">
        <f t="shared" si="85"/>
        <v>1</v>
      </c>
    </row>
    <row r="208" spans="1:16" ht="48.75" customHeight="1" x14ac:dyDescent="0.25">
      <c r="A208" s="4" t="s">
        <v>391</v>
      </c>
      <c r="B208" s="5" t="s">
        <v>178</v>
      </c>
      <c r="C208" s="5" t="s">
        <v>14</v>
      </c>
      <c r="D208" s="5" t="s">
        <v>151</v>
      </c>
      <c r="E208" s="5" t="s">
        <v>32</v>
      </c>
      <c r="F208" s="5" t="s">
        <v>48</v>
      </c>
      <c r="G208" s="5" t="s">
        <v>28</v>
      </c>
      <c r="H208" s="5" t="s">
        <v>290</v>
      </c>
      <c r="I208" s="5" t="s">
        <v>259</v>
      </c>
      <c r="J208" s="6" t="s">
        <v>161</v>
      </c>
      <c r="K208" s="6" t="s">
        <v>392</v>
      </c>
      <c r="L208" s="6" t="s">
        <v>53</v>
      </c>
      <c r="M208" s="63">
        <v>1305746.98</v>
      </c>
      <c r="N208" s="63">
        <v>1305746.98</v>
      </c>
      <c r="O208" s="63">
        <v>1305746.98</v>
      </c>
      <c r="P208" s="64">
        <f t="shared" si="85"/>
        <v>1</v>
      </c>
    </row>
    <row r="209" spans="1:16" s="35" customFormat="1" ht="32.25" customHeight="1" x14ac:dyDescent="0.25">
      <c r="A209" s="37" t="s">
        <v>377</v>
      </c>
      <c r="B209" s="39" t="s">
        <v>0</v>
      </c>
      <c r="C209" s="39" t="s">
        <v>0</v>
      </c>
      <c r="D209" s="39" t="s">
        <v>0</v>
      </c>
      <c r="E209" s="39" t="s">
        <v>0</v>
      </c>
      <c r="F209" s="39" t="s">
        <v>0</v>
      </c>
      <c r="G209" s="39" t="s">
        <v>0</v>
      </c>
      <c r="H209" s="39" t="s">
        <v>0</v>
      </c>
      <c r="I209" s="39" t="s">
        <v>0</v>
      </c>
      <c r="J209" s="39" t="s">
        <v>0</v>
      </c>
      <c r="K209" s="39" t="s">
        <v>0</v>
      </c>
      <c r="L209" s="39" t="s">
        <v>0</v>
      </c>
      <c r="M209" s="61">
        <f>M210+M211</f>
        <v>15484945.58</v>
      </c>
      <c r="N209" s="61">
        <f t="shared" ref="N209:O209" si="89">N210+N211</f>
        <v>15484945.58</v>
      </c>
      <c r="O209" s="61">
        <f t="shared" si="89"/>
        <v>15484945.58</v>
      </c>
      <c r="P209" s="62">
        <f t="shared" si="85"/>
        <v>1</v>
      </c>
    </row>
    <row r="210" spans="1:16" ht="64.5" customHeight="1" x14ac:dyDescent="0.25">
      <c r="A210" s="4" t="s">
        <v>393</v>
      </c>
      <c r="B210" s="5" t="s">
        <v>178</v>
      </c>
      <c r="C210" s="5" t="s">
        <v>14</v>
      </c>
      <c r="D210" s="5" t="s">
        <v>151</v>
      </c>
      <c r="E210" s="5" t="s">
        <v>32</v>
      </c>
      <c r="F210" s="5" t="s">
        <v>48</v>
      </c>
      <c r="G210" s="5" t="s">
        <v>28</v>
      </c>
      <c r="H210" s="5" t="s">
        <v>290</v>
      </c>
      <c r="I210" s="5" t="s">
        <v>259</v>
      </c>
      <c r="J210" s="6" t="s">
        <v>161</v>
      </c>
      <c r="K210" s="6" t="s">
        <v>394</v>
      </c>
      <c r="L210" s="6" t="s">
        <v>53</v>
      </c>
      <c r="M210" s="63">
        <f>13747130.04+215285.88</f>
        <v>13962415.92</v>
      </c>
      <c r="N210" s="63">
        <f>13747130.04+215285.88</f>
        <v>13962415.92</v>
      </c>
      <c r="O210" s="63">
        <f>13747130.04+215285.88</f>
        <v>13962415.92</v>
      </c>
      <c r="P210" s="64">
        <f t="shared" si="85"/>
        <v>1</v>
      </c>
    </row>
    <row r="211" spans="1:16" ht="48.9" customHeight="1" x14ac:dyDescent="0.25">
      <c r="A211" s="4" t="s">
        <v>395</v>
      </c>
      <c r="B211" s="5" t="s">
        <v>178</v>
      </c>
      <c r="C211" s="5" t="s">
        <v>14</v>
      </c>
      <c r="D211" s="5" t="s">
        <v>151</v>
      </c>
      <c r="E211" s="5" t="s">
        <v>32</v>
      </c>
      <c r="F211" s="5" t="s">
        <v>48</v>
      </c>
      <c r="G211" s="5" t="s">
        <v>28</v>
      </c>
      <c r="H211" s="5" t="s">
        <v>290</v>
      </c>
      <c r="I211" s="5" t="s">
        <v>259</v>
      </c>
      <c r="J211" s="6" t="s">
        <v>396</v>
      </c>
      <c r="K211" s="6" t="s">
        <v>13</v>
      </c>
      <c r="L211" s="6" t="s">
        <v>53</v>
      </c>
      <c r="M211" s="63">
        <f>1615000-92470.34</f>
        <v>1522529.66</v>
      </c>
      <c r="N211" s="63">
        <f>1615000-92470.34</f>
        <v>1522529.66</v>
      </c>
      <c r="O211" s="63">
        <f>1615000-92470.34</f>
        <v>1522529.66</v>
      </c>
      <c r="P211" s="64">
        <f t="shared" si="85"/>
        <v>1</v>
      </c>
    </row>
    <row r="212" spans="1:16" s="35" customFormat="1" ht="32.25" customHeight="1" x14ac:dyDescent="0.25">
      <c r="A212" s="37" t="s">
        <v>397</v>
      </c>
      <c r="B212" s="39" t="s">
        <v>0</v>
      </c>
      <c r="C212" s="39" t="s">
        <v>0</v>
      </c>
      <c r="D212" s="39" t="s">
        <v>0</v>
      </c>
      <c r="E212" s="39" t="s">
        <v>0</v>
      </c>
      <c r="F212" s="39" t="s">
        <v>0</v>
      </c>
      <c r="G212" s="39" t="s">
        <v>0</v>
      </c>
      <c r="H212" s="39" t="s">
        <v>0</v>
      </c>
      <c r="I212" s="39" t="s">
        <v>0</v>
      </c>
      <c r="J212" s="39" t="s">
        <v>0</v>
      </c>
      <c r="K212" s="39" t="s">
        <v>0</v>
      </c>
      <c r="L212" s="39" t="s">
        <v>0</v>
      </c>
      <c r="M212" s="61">
        <f>M213</f>
        <v>3670266.14</v>
      </c>
      <c r="N212" s="61">
        <f t="shared" ref="N212:O212" si="90">N213</f>
        <v>3670266.14</v>
      </c>
      <c r="O212" s="61">
        <f t="shared" si="90"/>
        <v>3670266.14</v>
      </c>
      <c r="P212" s="62">
        <f t="shared" si="85"/>
        <v>1</v>
      </c>
    </row>
    <row r="213" spans="1:16" ht="48.9" customHeight="1" x14ac:dyDescent="0.25">
      <c r="A213" s="4" t="s">
        <v>398</v>
      </c>
      <c r="B213" s="5" t="s">
        <v>178</v>
      </c>
      <c r="C213" s="5" t="s">
        <v>14</v>
      </c>
      <c r="D213" s="5" t="s">
        <v>151</v>
      </c>
      <c r="E213" s="5" t="s">
        <v>32</v>
      </c>
      <c r="F213" s="5" t="s">
        <v>48</v>
      </c>
      <c r="G213" s="5" t="s">
        <v>28</v>
      </c>
      <c r="H213" s="5" t="s">
        <v>290</v>
      </c>
      <c r="I213" s="5" t="s">
        <v>259</v>
      </c>
      <c r="J213" s="6" t="s">
        <v>161</v>
      </c>
      <c r="K213" s="6" t="s">
        <v>399</v>
      </c>
      <c r="L213" s="6" t="s">
        <v>53</v>
      </c>
      <c r="M213" s="63">
        <v>3670266.14</v>
      </c>
      <c r="N213" s="63">
        <v>3670266.14</v>
      </c>
      <c r="O213" s="63">
        <v>3670266.14</v>
      </c>
      <c r="P213" s="64">
        <f t="shared" si="85"/>
        <v>1</v>
      </c>
    </row>
    <row r="214" spans="1:16" s="35" customFormat="1" ht="32.25" customHeight="1" x14ac:dyDescent="0.25">
      <c r="A214" s="37" t="s">
        <v>317</v>
      </c>
      <c r="B214" s="39" t="s">
        <v>0</v>
      </c>
      <c r="C214" s="39" t="s">
        <v>0</v>
      </c>
      <c r="D214" s="39" t="s">
        <v>0</v>
      </c>
      <c r="E214" s="39" t="s">
        <v>0</v>
      </c>
      <c r="F214" s="39" t="s">
        <v>0</v>
      </c>
      <c r="G214" s="39" t="s">
        <v>0</v>
      </c>
      <c r="H214" s="39" t="s">
        <v>0</v>
      </c>
      <c r="I214" s="39" t="s">
        <v>0</v>
      </c>
      <c r="J214" s="39" t="s">
        <v>0</v>
      </c>
      <c r="K214" s="39" t="s">
        <v>0</v>
      </c>
      <c r="L214" s="39" t="s">
        <v>0</v>
      </c>
      <c r="M214" s="61">
        <f>M215</f>
        <v>2303580.7700000005</v>
      </c>
      <c r="N214" s="61">
        <f t="shared" ref="N214:O214" si="91">N215</f>
        <v>2303580.7700000005</v>
      </c>
      <c r="O214" s="61">
        <f t="shared" si="91"/>
        <v>2303580.7700000005</v>
      </c>
      <c r="P214" s="62">
        <f t="shared" si="85"/>
        <v>1</v>
      </c>
    </row>
    <row r="215" spans="1:16" ht="48.9" customHeight="1" x14ac:dyDescent="0.25">
      <c r="A215" s="4" t="s">
        <v>407</v>
      </c>
      <c r="B215" s="5" t="s">
        <v>178</v>
      </c>
      <c r="C215" s="5" t="s">
        <v>14</v>
      </c>
      <c r="D215" s="5" t="s">
        <v>151</v>
      </c>
      <c r="E215" s="5" t="s">
        <v>32</v>
      </c>
      <c r="F215" s="5" t="s">
        <v>48</v>
      </c>
      <c r="G215" s="5" t="s">
        <v>28</v>
      </c>
      <c r="H215" s="5" t="s">
        <v>290</v>
      </c>
      <c r="I215" s="5" t="s">
        <v>259</v>
      </c>
      <c r="J215" s="6" t="s">
        <v>276</v>
      </c>
      <c r="K215" s="6">
        <v>1</v>
      </c>
      <c r="L215" s="6">
        <v>2019</v>
      </c>
      <c r="M215" s="63">
        <v>2303580.7700000005</v>
      </c>
      <c r="N215" s="63">
        <v>2303580.7700000005</v>
      </c>
      <c r="O215" s="63">
        <v>2303580.7700000005</v>
      </c>
      <c r="P215" s="64">
        <f t="shared" si="85"/>
        <v>1</v>
      </c>
    </row>
    <row r="216" spans="1:16" s="35" customFormat="1" ht="15" customHeight="1" x14ac:dyDescent="0.25">
      <c r="A216" s="37" t="s">
        <v>304</v>
      </c>
      <c r="B216" s="39" t="s">
        <v>0</v>
      </c>
      <c r="C216" s="39" t="s">
        <v>0</v>
      </c>
      <c r="D216" s="39" t="s">
        <v>0</v>
      </c>
      <c r="E216" s="39" t="s">
        <v>0</v>
      </c>
      <c r="F216" s="39" t="s">
        <v>0</v>
      </c>
      <c r="G216" s="39" t="s">
        <v>0</v>
      </c>
      <c r="H216" s="39" t="s">
        <v>0</v>
      </c>
      <c r="I216" s="39" t="s">
        <v>0</v>
      </c>
      <c r="J216" s="39" t="s">
        <v>0</v>
      </c>
      <c r="K216" s="39" t="s">
        <v>0</v>
      </c>
      <c r="L216" s="39" t="s">
        <v>0</v>
      </c>
      <c r="M216" s="61">
        <f>M217</f>
        <v>3746886.38</v>
      </c>
      <c r="N216" s="61">
        <f t="shared" ref="N216:O216" si="92">N217</f>
        <v>2410812.34</v>
      </c>
      <c r="O216" s="61">
        <f t="shared" si="92"/>
        <v>2410812.34</v>
      </c>
      <c r="P216" s="62">
        <f t="shared" si="85"/>
        <v>0.64341751937511382</v>
      </c>
    </row>
    <row r="217" spans="1:16" ht="32.25" customHeight="1" x14ac:dyDescent="0.25">
      <c r="A217" s="4" t="s">
        <v>400</v>
      </c>
      <c r="B217" s="5" t="s">
        <v>178</v>
      </c>
      <c r="C217" s="5" t="s">
        <v>14</v>
      </c>
      <c r="D217" s="5" t="s">
        <v>151</v>
      </c>
      <c r="E217" s="5" t="s">
        <v>32</v>
      </c>
      <c r="F217" s="5" t="s">
        <v>48</v>
      </c>
      <c r="G217" s="5" t="s">
        <v>28</v>
      </c>
      <c r="H217" s="5" t="s">
        <v>290</v>
      </c>
      <c r="I217" s="5" t="s">
        <v>259</v>
      </c>
      <c r="J217" s="6" t="s">
        <v>276</v>
      </c>
      <c r="K217" s="6">
        <v>1</v>
      </c>
      <c r="L217" s="6" t="s">
        <v>53</v>
      </c>
      <c r="M217" s="63">
        <v>3746886.38</v>
      </c>
      <c r="N217" s="63">
        <v>2410812.34</v>
      </c>
      <c r="O217" s="63">
        <v>2410812.34</v>
      </c>
      <c r="P217" s="64">
        <f t="shared" si="85"/>
        <v>0.64341751937511382</v>
      </c>
    </row>
    <row r="218" spans="1:16" s="35" customFormat="1" ht="32.25" customHeight="1" x14ac:dyDescent="0.25">
      <c r="A218" s="37" t="s">
        <v>280</v>
      </c>
      <c r="B218" s="39" t="s">
        <v>0</v>
      </c>
      <c r="C218" s="39" t="s">
        <v>0</v>
      </c>
      <c r="D218" s="39" t="s">
        <v>0</v>
      </c>
      <c r="E218" s="39" t="s">
        <v>0</v>
      </c>
      <c r="F218" s="39" t="s">
        <v>0</v>
      </c>
      <c r="G218" s="39" t="s">
        <v>0</v>
      </c>
      <c r="H218" s="39" t="s">
        <v>0</v>
      </c>
      <c r="I218" s="39" t="s">
        <v>0</v>
      </c>
      <c r="J218" s="39" t="s">
        <v>0</v>
      </c>
      <c r="K218" s="39" t="s">
        <v>0</v>
      </c>
      <c r="L218" s="39" t="s">
        <v>0</v>
      </c>
      <c r="M218" s="61">
        <f>M219+M220</f>
        <v>8610349.3000000007</v>
      </c>
      <c r="N218" s="61">
        <f t="shared" ref="N218:O218" si="93">N219+N220</f>
        <v>8610349.3000000007</v>
      </c>
      <c r="O218" s="61">
        <f t="shared" si="93"/>
        <v>8610349.3000000007</v>
      </c>
      <c r="P218" s="62">
        <f t="shared" si="85"/>
        <v>1</v>
      </c>
    </row>
    <row r="219" spans="1:16" ht="57" customHeight="1" x14ac:dyDescent="0.25">
      <c r="A219" s="4" t="s">
        <v>401</v>
      </c>
      <c r="B219" s="5" t="s">
        <v>178</v>
      </c>
      <c r="C219" s="5" t="s">
        <v>14</v>
      </c>
      <c r="D219" s="5" t="s">
        <v>151</v>
      </c>
      <c r="E219" s="5" t="s">
        <v>32</v>
      </c>
      <c r="F219" s="5" t="s">
        <v>48</v>
      </c>
      <c r="G219" s="5" t="s">
        <v>28</v>
      </c>
      <c r="H219" s="5" t="s">
        <v>290</v>
      </c>
      <c r="I219" s="5" t="s">
        <v>259</v>
      </c>
      <c r="J219" s="6" t="s">
        <v>276</v>
      </c>
      <c r="K219" s="6">
        <v>1</v>
      </c>
      <c r="L219" s="6" t="s">
        <v>53</v>
      </c>
      <c r="M219" s="63">
        <v>4403507.21</v>
      </c>
      <c r="N219" s="63">
        <v>4403507.21</v>
      </c>
      <c r="O219" s="63">
        <v>4403507.21</v>
      </c>
      <c r="P219" s="64">
        <f t="shared" si="85"/>
        <v>1</v>
      </c>
    </row>
    <row r="220" spans="1:16" ht="48.9" customHeight="1" x14ac:dyDescent="0.25">
      <c r="A220" s="4" t="s">
        <v>402</v>
      </c>
      <c r="B220" s="5" t="s">
        <v>178</v>
      </c>
      <c r="C220" s="5" t="s">
        <v>14</v>
      </c>
      <c r="D220" s="5" t="s">
        <v>151</v>
      </c>
      <c r="E220" s="5" t="s">
        <v>32</v>
      </c>
      <c r="F220" s="5" t="s">
        <v>48</v>
      </c>
      <c r="G220" s="5" t="s">
        <v>28</v>
      </c>
      <c r="H220" s="5" t="s">
        <v>290</v>
      </c>
      <c r="I220" s="5" t="s">
        <v>259</v>
      </c>
      <c r="J220" s="6" t="s">
        <v>276</v>
      </c>
      <c r="K220" s="6">
        <v>1</v>
      </c>
      <c r="L220" s="6" t="s">
        <v>53</v>
      </c>
      <c r="M220" s="63">
        <v>4206842.09</v>
      </c>
      <c r="N220" s="63">
        <v>4206842.09</v>
      </c>
      <c r="O220" s="63">
        <v>4206842.09</v>
      </c>
      <c r="P220" s="64">
        <f t="shared" si="85"/>
        <v>1</v>
      </c>
    </row>
    <row r="221" spans="1:16" s="35" customFormat="1" ht="48.9" customHeight="1" x14ac:dyDescent="0.25">
      <c r="A221" s="37" t="s">
        <v>386</v>
      </c>
      <c r="B221" s="39" t="s">
        <v>0</v>
      </c>
      <c r="C221" s="39" t="s">
        <v>0</v>
      </c>
      <c r="D221" s="39" t="s">
        <v>0</v>
      </c>
      <c r="E221" s="39" t="s">
        <v>0</v>
      </c>
      <c r="F221" s="39" t="s">
        <v>0</v>
      </c>
      <c r="G221" s="39" t="s">
        <v>0</v>
      </c>
      <c r="H221" s="39" t="s">
        <v>0</v>
      </c>
      <c r="I221" s="39" t="s">
        <v>0</v>
      </c>
      <c r="J221" s="39" t="s">
        <v>0</v>
      </c>
      <c r="K221" s="39" t="s">
        <v>0</v>
      </c>
      <c r="L221" s="39" t="s">
        <v>0</v>
      </c>
      <c r="M221" s="61">
        <f>M222+M223</f>
        <v>1275541.8600000001</v>
      </c>
      <c r="N221" s="61">
        <f t="shared" ref="N221:O221" si="94">N222+N223</f>
        <v>1275541.8600000001</v>
      </c>
      <c r="O221" s="61">
        <f t="shared" si="94"/>
        <v>1275541.8600000001</v>
      </c>
      <c r="P221" s="62">
        <f t="shared" si="85"/>
        <v>1</v>
      </c>
    </row>
    <row r="222" spans="1:16" ht="56.25" customHeight="1" x14ac:dyDescent="0.25">
      <c r="A222" s="4" t="s">
        <v>403</v>
      </c>
      <c r="B222" s="5" t="s">
        <v>178</v>
      </c>
      <c r="C222" s="5" t="s">
        <v>14</v>
      </c>
      <c r="D222" s="5" t="s">
        <v>151</v>
      </c>
      <c r="E222" s="5" t="s">
        <v>32</v>
      </c>
      <c r="F222" s="5" t="s">
        <v>48</v>
      </c>
      <c r="G222" s="5" t="s">
        <v>28</v>
      </c>
      <c r="H222" s="5" t="s">
        <v>290</v>
      </c>
      <c r="I222" s="5" t="s">
        <v>259</v>
      </c>
      <c r="J222" s="6" t="s">
        <v>161</v>
      </c>
      <c r="K222" s="6" t="s">
        <v>404</v>
      </c>
      <c r="L222" s="6" t="s">
        <v>53</v>
      </c>
      <c r="M222" s="63">
        <f>453727.24-76282.36</f>
        <v>377444.88</v>
      </c>
      <c r="N222" s="63">
        <f>453727.24-76282.36</f>
        <v>377444.88</v>
      </c>
      <c r="O222" s="63">
        <f>453727.24-76282.36</f>
        <v>377444.88</v>
      </c>
      <c r="P222" s="64">
        <f t="shared" si="85"/>
        <v>1</v>
      </c>
    </row>
    <row r="223" spans="1:16" ht="55.5" customHeight="1" x14ac:dyDescent="0.25">
      <c r="A223" s="4" t="s">
        <v>405</v>
      </c>
      <c r="B223" s="5" t="s">
        <v>178</v>
      </c>
      <c r="C223" s="5" t="s">
        <v>14</v>
      </c>
      <c r="D223" s="5" t="s">
        <v>151</v>
      </c>
      <c r="E223" s="5" t="s">
        <v>32</v>
      </c>
      <c r="F223" s="5" t="s">
        <v>48</v>
      </c>
      <c r="G223" s="5" t="s">
        <v>28</v>
      </c>
      <c r="H223" s="5" t="s">
        <v>290</v>
      </c>
      <c r="I223" s="5" t="s">
        <v>259</v>
      </c>
      <c r="J223" s="6" t="s">
        <v>161</v>
      </c>
      <c r="K223" s="6" t="s">
        <v>406</v>
      </c>
      <c r="L223" s="6" t="s">
        <v>53</v>
      </c>
      <c r="M223" s="63">
        <f>1112355.85-190505.48-23753.39</f>
        <v>898096.9800000001</v>
      </c>
      <c r="N223" s="63">
        <f>1112355.85-190505.48-23753.39</f>
        <v>898096.9800000001</v>
      </c>
      <c r="O223" s="63">
        <f>1112355.85-190505.48-23753.39</f>
        <v>898096.9800000001</v>
      </c>
      <c r="P223" s="64">
        <f t="shared" si="85"/>
        <v>1</v>
      </c>
    </row>
    <row r="224" spans="1:16" s="35" customFormat="1" ht="32.25" customHeight="1" x14ac:dyDescent="0.25">
      <c r="A224" s="37" t="s">
        <v>408</v>
      </c>
      <c r="B224" s="32" t="s">
        <v>178</v>
      </c>
      <c r="C224" s="32" t="s">
        <v>14</v>
      </c>
      <c r="D224" s="32" t="s">
        <v>63</v>
      </c>
      <c r="E224" s="32" t="s">
        <v>0</v>
      </c>
      <c r="F224" s="32" t="s">
        <v>0</v>
      </c>
      <c r="G224" s="32" t="s">
        <v>0</v>
      </c>
      <c r="H224" s="38" t="s">
        <v>0</v>
      </c>
      <c r="I224" s="38" t="s">
        <v>0</v>
      </c>
      <c r="J224" s="38" t="s">
        <v>0</v>
      </c>
      <c r="K224" s="38" t="s">
        <v>0</v>
      </c>
      <c r="L224" s="38" t="s">
        <v>0</v>
      </c>
      <c r="M224" s="61">
        <f>M225</f>
        <v>205550113.23000002</v>
      </c>
      <c r="N224" s="61">
        <f t="shared" ref="N224:O228" si="95">N225</f>
        <v>106850803.55000001</v>
      </c>
      <c r="O224" s="61">
        <f t="shared" si="95"/>
        <v>106850803.55000001</v>
      </c>
      <c r="P224" s="62">
        <f t="shared" si="85"/>
        <v>0.51982848304461626</v>
      </c>
    </row>
    <row r="225" spans="1:16" s="35" customFormat="1" ht="39.75" customHeight="1" x14ac:dyDescent="0.25">
      <c r="A225" s="37" t="s">
        <v>31</v>
      </c>
      <c r="B225" s="32" t="s">
        <v>178</v>
      </c>
      <c r="C225" s="32" t="s">
        <v>14</v>
      </c>
      <c r="D225" s="32" t="s">
        <v>63</v>
      </c>
      <c r="E225" s="32" t="s">
        <v>32</v>
      </c>
      <c r="F225" s="32" t="s">
        <v>0</v>
      </c>
      <c r="G225" s="32" t="s">
        <v>0</v>
      </c>
      <c r="H225" s="38" t="s">
        <v>0</v>
      </c>
      <c r="I225" s="38" t="s">
        <v>0</v>
      </c>
      <c r="J225" s="38" t="s">
        <v>0</v>
      </c>
      <c r="K225" s="38" t="s">
        <v>0</v>
      </c>
      <c r="L225" s="38" t="s">
        <v>0</v>
      </c>
      <c r="M225" s="61">
        <f>M226</f>
        <v>205550113.23000002</v>
      </c>
      <c r="N225" s="61">
        <f t="shared" si="95"/>
        <v>106850803.55000001</v>
      </c>
      <c r="O225" s="61">
        <f t="shared" si="95"/>
        <v>106850803.55000001</v>
      </c>
      <c r="P225" s="62">
        <f t="shared" si="85"/>
        <v>0.51982848304461626</v>
      </c>
    </row>
    <row r="226" spans="1:16" s="35" customFormat="1" ht="15" customHeight="1" x14ac:dyDescent="0.25">
      <c r="A226" s="36" t="s">
        <v>47</v>
      </c>
      <c r="B226" s="32" t="s">
        <v>178</v>
      </c>
      <c r="C226" s="32" t="s">
        <v>14</v>
      </c>
      <c r="D226" s="32" t="s">
        <v>63</v>
      </c>
      <c r="E226" s="32" t="s">
        <v>32</v>
      </c>
      <c r="F226" s="32" t="s">
        <v>48</v>
      </c>
      <c r="G226" s="32" t="s">
        <v>0</v>
      </c>
      <c r="H226" s="32" t="s">
        <v>0</v>
      </c>
      <c r="I226" s="32" t="s">
        <v>0</v>
      </c>
      <c r="J226" s="32" t="s">
        <v>0</v>
      </c>
      <c r="K226" s="32" t="s">
        <v>0</v>
      </c>
      <c r="L226" s="32" t="s">
        <v>0</v>
      </c>
      <c r="M226" s="61">
        <f>M227</f>
        <v>205550113.23000002</v>
      </c>
      <c r="N226" s="61">
        <f t="shared" si="95"/>
        <v>106850803.55000001</v>
      </c>
      <c r="O226" s="61">
        <f t="shared" si="95"/>
        <v>106850803.55000001</v>
      </c>
      <c r="P226" s="62">
        <f t="shared" si="85"/>
        <v>0.51982848304461626</v>
      </c>
    </row>
    <row r="227" spans="1:16" s="35" customFormat="1" ht="15" customHeight="1" x14ac:dyDescent="0.25">
      <c r="A227" s="36" t="s">
        <v>49</v>
      </c>
      <c r="B227" s="32" t="s">
        <v>178</v>
      </c>
      <c r="C227" s="32" t="s">
        <v>14</v>
      </c>
      <c r="D227" s="32" t="s">
        <v>63</v>
      </c>
      <c r="E227" s="32" t="s">
        <v>32</v>
      </c>
      <c r="F227" s="32" t="s">
        <v>48</v>
      </c>
      <c r="G227" s="32" t="s">
        <v>28</v>
      </c>
      <c r="H227" s="32" t="s">
        <v>0</v>
      </c>
      <c r="I227" s="32" t="s">
        <v>0</v>
      </c>
      <c r="J227" s="32" t="s">
        <v>0</v>
      </c>
      <c r="K227" s="32" t="s">
        <v>0</v>
      </c>
      <c r="L227" s="32" t="s">
        <v>0</v>
      </c>
      <c r="M227" s="61">
        <f>M228</f>
        <v>205550113.23000002</v>
      </c>
      <c r="N227" s="61">
        <f t="shared" si="95"/>
        <v>106850803.55000001</v>
      </c>
      <c r="O227" s="61">
        <f t="shared" si="95"/>
        <v>106850803.55000001</v>
      </c>
      <c r="P227" s="62">
        <f t="shared" si="85"/>
        <v>0.51982848304461626</v>
      </c>
    </row>
    <row r="228" spans="1:16" s="35" customFormat="1" ht="57.75" customHeight="1" x14ac:dyDescent="0.25">
      <c r="A228" s="37" t="s">
        <v>289</v>
      </c>
      <c r="B228" s="32" t="s">
        <v>178</v>
      </c>
      <c r="C228" s="32" t="s">
        <v>14</v>
      </c>
      <c r="D228" s="32" t="s">
        <v>63</v>
      </c>
      <c r="E228" s="32" t="s">
        <v>32</v>
      </c>
      <c r="F228" s="32" t="s">
        <v>48</v>
      </c>
      <c r="G228" s="32" t="s">
        <v>28</v>
      </c>
      <c r="H228" s="32" t="s">
        <v>290</v>
      </c>
      <c r="I228" s="38" t="s">
        <v>0</v>
      </c>
      <c r="J228" s="38" t="s">
        <v>0</v>
      </c>
      <c r="K228" s="38" t="s">
        <v>0</v>
      </c>
      <c r="L228" s="38" t="s">
        <v>0</v>
      </c>
      <c r="M228" s="61">
        <f>M229</f>
        <v>205550113.23000002</v>
      </c>
      <c r="N228" s="61">
        <f t="shared" si="95"/>
        <v>106850803.55000001</v>
      </c>
      <c r="O228" s="61">
        <f t="shared" si="95"/>
        <v>106850803.55000001</v>
      </c>
      <c r="P228" s="62">
        <f t="shared" si="85"/>
        <v>0.51982848304461626</v>
      </c>
    </row>
    <row r="229" spans="1:16" s="35" customFormat="1" ht="77.25" customHeight="1" x14ac:dyDescent="0.25">
      <c r="A229" s="37" t="s">
        <v>258</v>
      </c>
      <c r="B229" s="32" t="s">
        <v>178</v>
      </c>
      <c r="C229" s="32" t="s">
        <v>14</v>
      </c>
      <c r="D229" s="32" t="s">
        <v>63</v>
      </c>
      <c r="E229" s="32" t="s">
        <v>32</v>
      </c>
      <c r="F229" s="32" t="s">
        <v>48</v>
      </c>
      <c r="G229" s="32" t="s">
        <v>28</v>
      </c>
      <c r="H229" s="32" t="s">
        <v>290</v>
      </c>
      <c r="I229" s="32" t="s">
        <v>259</v>
      </c>
      <c r="J229" s="32" t="s">
        <v>0</v>
      </c>
      <c r="K229" s="32" t="s">
        <v>0</v>
      </c>
      <c r="L229" s="32" t="s">
        <v>0</v>
      </c>
      <c r="M229" s="61">
        <f>M230+M234</f>
        <v>205550113.23000002</v>
      </c>
      <c r="N229" s="61">
        <f t="shared" ref="N229:O229" si="96">N230+N234</f>
        <v>106850803.55000001</v>
      </c>
      <c r="O229" s="61">
        <f t="shared" si="96"/>
        <v>106850803.55000001</v>
      </c>
      <c r="P229" s="62">
        <f t="shared" si="85"/>
        <v>0.51982848304461626</v>
      </c>
    </row>
    <row r="230" spans="1:16" s="35" customFormat="1" ht="15" customHeight="1" x14ac:dyDescent="0.25">
      <c r="A230" s="37" t="s">
        <v>336</v>
      </c>
      <c r="B230" s="39" t="s">
        <v>0</v>
      </c>
      <c r="C230" s="39" t="s">
        <v>0</v>
      </c>
      <c r="D230" s="39" t="s">
        <v>0</v>
      </c>
      <c r="E230" s="39" t="s">
        <v>0</v>
      </c>
      <c r="F230" s="39" t="s">
        <v>0</v>
      </c>
      <c r="G230" s="39" t="s">
        <v>0</v>
      </c>
      <c r="H230" s="39" t="s">
        <v>0</v>
      </c>
      <c r="I230" s="39" t="s">
        <v>0</v>
      </c>
      <c r="J230" s="39" t="s">
        <v>0</v>
      </c>
      <c r="K230" s="39" t="s">
        <v>0</v>
      </c>
      <c r="L230" s="39" t="s">
        <v>0</v>
      </c>
      <c r="M230" s="61">
        <f>M231+M232+M233</f>
        <v>197591572.30000001</v>
      </c>
      <c r="N230" s="61">
        <f t="shared" ref="N230:O230" si="97">N231+N232+N233</f>
        <v>98892262.620000005</v>
      </c>
      <c r="O230" s="61">
        <f t="shared" si="97"/>
        <v>98892262.620000005</v>
      </c>
      <c r="P230" s="62">
        <f t="shared" si="85"/>
        <v>0.50048826206946484</v>
      </c>
    </row>
    <row r="231" spans="1:16" ht="144.44999999999999" customHeight="1" x14ac:dyDescent="0.25">
      <c r="A231" s="4" t="s">
        <v>409</v>
      </c>
      <c r="B231" s="5" t="s">
        <v>178</v>
      </c>
      <c r="C231" s="5" t="s">
        <v>14</v>
      </c>
      <c r="D231" s="5" t="s">
        <v>63</v>
      </c>
      <c r="E231" s="5" t="s">
        <v>32</v>
      </c>
      <c r="F231" s="5" t="s">
        <v>48</v>
      </c>
      <c r="G231" s="5" t="s">
        <v>28</v>
      </c>
      <c r="H231" s="5" t="s">
        <v>290</v>
      </c>
      <c r="I231" s="5" t="s">
        <v>259</v>
      </c>
      <c r="J231" s="6" t="s">
        <v>410</v>
      </c>
      <c r="K231" s="6" t="s">
        <v>411</v>
      </c>
      <c r="L231" s="6">
        <v>2020</v>
      </c>
      <c r="M231" s="63">
        <f>29456353-9230556</f>
        <v>20225797</v>
      </c>
      <c r="N231" s="63">
        <v>17900446.399999999</v>
      </c>
      <c r="O231" s="63">
        <v>17900446.399999999</v>
      </c>
      <c r="P231" s="64">
        <f t="shared" si="85"/>
        <v>0.88503045887388265</v>
      </c>
    </row>
    <row r="232" spans="1:16" ht="80.099999999999994" customHeight="1" x14ac:dyDescent="0.25">
      <c r="A232" s="4" t="s">
        <v>412</v>
      </c>
      <c r="B232" s="5" t="s">
        <v>178</v>
      </c>
      <c r="C232" s="5" t="s">
        <v>14</v>
      </c>
      <c r="D232" s="5" t="s">
        <v>63</v>
      </c>
      <c r="E232" s="5" t="s">
        <v>32</v>
      </c>
      <c r="F232" s="5" t="s">
        <v>48</v>
      </c>
      <c r="G232" s="5" t="s">
        <v>28</v>
      </c>
      <c r="H232" s="5" t="s">
        <v>290</v>
      </c>
      <c r="I232" s="5" t="s">
        <v>259</v>
      </c>
      <c r="J232" s="6" t="s">
        <v>410</v>
      </c>
      <c r="K232" s="6" t="s">
        <v>413</v>
      </c>
      <c r="L232" s="6">
        <v>2020</v>
      </c>
      <c r="M232" s="63">
        <f>155515526-29373268</f>
        <v>126142258</v>
      </c>
      <c r="N232" s="63">
        <v>31668028.989999998</v>
      </c>
      <c r="O232" s="63">
        <v>31668028.989999998</v>
      </c>
      <c r="P232" s="64">
        <f t="shared" si="85"/>
        <v>0.25105011985753417</v>
      </c>
    </row>
    <row r="233" spans="1:16" ht="80.099999999999994" customHeight="1" x14ac:dyDescent="0.25">
      <c r="A233" s="4" t="s">
        <v>414</v>
      </c>
      <c r="B233" s="5" t="s">
        <v>178</v>
      </c>
      <c r="C233" s="5" t="s">
        <v>14</v>
      </c>
      <c r="D233" s="5" t="s">
        <v>63</v>
      </c>
      <c r="E233" s="5" t="s">
        <v>32</v>
      </c>
      <c r="F233" s="5" t="s">
        <v>48</v>
      </c>
      <c r="G233" s="5" t="s">
        <v>28</v>
      </c>
      <c r="H233" s="5" t="s">
        <v>290</v>
      </c>
      <c r="I233" s="5" t="s">
        <v>259</v>
      </c>
      <c r="J233" s="6" t="s">
        <v>410</v>
      </c>
      <c r="K233" s="6">
        <v>5393.2</v>
      </c>
      <c r="L233" s="6">
        <v>2020</v>
      </c>
      <c r="M233" s="63">
        <f>54219693.3-2996176</f>
        <v>51223517.299999997</v>
      </c>
      <c r="N233" s="63">
        <v>49323787.229999997</v>
      </c>
      <c r="O233" s="63">
        <v>49323787.229999997</v>
      </c>
      <c r="P233" s="64">
        <f t="shared" si="85"/>
        <v>0.96291293198641792</v>
      </c>
    </row>
    <row r="234" spans="1:16" s="35" customFormat="1" ht="15" customHeight="1" x14ac:dyDescent="0.25">
      <c r="A234" s="37" t="s">
        <v>317</v>
      </c>
      <c r="B234" s="39" t="s">
        <v>0</v>
      </c>
      <c r="C234" s="39" t="s">
        <v>0</v>
      </c>
      <c r="D234" s="39" t="s">
        <v>0</v>
      </c>
      <c r="E234" s="39" t="s">
        <v>0</v>
      </c>
      <c r="F234" s="39" t="s">
        <v>0</v>
      </c>
      <c r="G234" s="39" t="s">
        <v>0</v>
      </c>
      <c r="H234" s="39" t="s">
        <v>0</v>
      </c>
      <c r="I234" s="39" t="s">
        <v>0</v>
      </c>
      <c r="J234" s="39" t="s">
        <v>0</v>
      </c>
      <c r="K234" s="39" t="s">
        <v>0</v>
      </c>
      <c r="L234" s="39" t="s">
        <v>0</v>
      </c>
      <c r="M234" s="61">
        <f>M235</f>
        <v>7958540.9299999997</v>
      </c>
      <c r="N234" s="61">
        <f t="shared" ref="N234:O234" si="98">N235</f>
        <v>7958540.9299999997</v>
      </c>
      <c r="O234" s="61">
        <f t="shared" si="98"/>
        <v>7958540.9299999997</v>
      </c>
      <c r="P234" s="62">
        <f t="shared" si="85"/>
        <v>1</v>
      </c>
    </row>
    <row r="235" spans="1:16" ht="48.9" customHeight="1" x14ac:dyDescent="0.25">
      <c r="A235" s="4" t="s">
        <v>415</v>
      </c>
      <c r="B235" s="5" t="s">
        <v>178</v>
      </c>
      <c r="C235" s="5" t="s">
        <v>14</v>
      </c>
      <c r="D235" s="5" t="s">
        <v>63</v>
      </c>
      <c r="E235" s="5" t="s">
        <v>32</v>
      </c>
      <c r="F235" s="5" t="s">
        <v>48</v>
      </c>
      <c r="G235" s="5" t="s">
        <v>28</v>
      </c>
      <c r="H235" s="5" t="s">
        <v>290</v>
      </c>
      <c r="I235" s="5" t="s">
        <v>259</v>
      </c>
      <c r="J235" s="6" t="s">
        <v>161</v>
      </c>
      <c r="K235" s="6">
        <v>1.974</v>
      </c>
      <c r="L235" s="6" t="s">
        <v>53</v>
      </c>
      <c r="M235" s="63">
        <v>7958540.9299999997</v>
      </c>
      <c r="N235" s="63">
        <v>7958540.9299999997</v>
      </c>
      <c r="O235" s="63">
        <v>7958540.9299999997</v>
      </c>
      <c r="P235" s="64">
        <f t="shared" si="85"/>
        <v>1</v>
      </c>
    </row>
    <row r="236" spans="1:16" s="35" customFormat="1" ht="32.25" customHeight="1" x14ac:dyDescent="0.25">
      <c r="A236" s="37" t="s">
        <v>184</v>
      </c>
      <c r="B236" s="32" t="s">
        <v>178</v>
      </c>
      <c r="C236" s="32" t="s">
        <v>15</v>
      </c>
      <c r="D236" s="32" t="s">
        <v>0</v>
      </c>
      <c r="E236" s="32" t="s">
        <v>0</v>
      </c>
      <c r="F236" s="32" t="s">
        <v>0</v>
      </c>
      <c r="G236" s="32" t="s">
        <v>0</v>
      </c>
      <c r="H236" s="38" t="s">
        <v>0</v>
      </c>
      <c r="I236" s="38" t="s">
        <v>0</v>
      </c>
      <c r="J236" s="38" t="s">
        <v>0</v>
      </c>
      <c r="K236" s="38" t="s">
        <v>0</v>
      </c>
      <c r="L236" s="38" t="s">
        <v>0</v>
      </c>
      <c r="M236" s="61">
        <f>M250+M237</f>
        <v>641345168.44000006</v>
      </c>
      <c r="N236" s="61">
        <f t="shared" ref="N236:O236" si="99">N250+N237</f>
        <v>593498674.88999999</v>
      </c>
      <c r="O236" s="61">
        <f t="shared" si="99"/>
        <v>593498674.88999999</v>
      </c>
      <c r="P236" s="62">
        <f t="shared" si="85"/>
        <v>0.92539665705070906</v>
      </c>
    </row>
    <row r="237" spans="1:16" s="35" customFormat="1" ht="80.099999999999994" customHeight="1" x14ac:dyDescent="0.25">
      <c r="A237" s="37" t="s">
        <v>185</v>
      </c>
      <c r="B237" s="32" t="s">
        <v>178</v>
      </c>
      <c r="C237" s="32" t="s">
        <v>15</v>
      </c>
      <c r="D237" s="32" t="s">
        <v>186</v>
      </c>
      <c r="E237" s="32" t="s">
        <v>0</v>
      </c>
      <c r="F237" s="32" t="s">
        <v>0</v>
      </c>
      <c r="G237" s="32" t="s">
        <v>0</v>
      </c>
      <c r="H237" s="38" t="s">
        <v>0</v>
      </c>
      <c r="I237" s="38" t="s">
        <v>0</v>
      </c>
      <c r="J237" s="38" t="s">
        <v>0</v>
      </c>
      <c r="K237" s="38" t="s">
        <v>0</v>
      </c>
      <c r="L237" s="38" t="s">
        <v>0</v>
      </c>
      <c r="M237" s="61">
        <f>M238</f>
        <v>123209221.18000001</v>
      </c>
      <c r="N237" s="61">
        <f t="shared" ref="N237:O241" si="100">N238</f>
        <v>104550751.95</v>
      </c>
      <c r="O237" s="61">
        <f t="shared" si="100"/>
        <v>104550751.95</v>
      </c>
      <c r="P237" s="62">
        <f t="shared" si="85"/>
        <v>0.84856272078255168</v>
      </c>
    </row>
    <row r="238" spans="1:16" s="35" customFormat="1" ht="32.25" customHeight="1" x14ac:dyDescent="0.25">
      <c r="A238" s="37" t="s">
        <v>31</v>
      </c>
      <c r="B238" s="32" t="s">
        <v>178</v>
      </c>
      <c r="C238" s="32" t="s">
        <v>15</v>
      </c>
      <c r="D238" s="32" t="s">
        <v>186</v>
      </c>
      <c r="E238" s="32" t="s">
        <v>32</v>
      </c>
      <c r="F238" s="32" t="s">
        <v>0</v>
      </c>
      <c r="G238" s="32" t="s">
        <v>0</v>
      </c>
      <c r="H238" s="38" t="s">
        <v>0</v>
      </c>
      <c r="I238" s="38" t="s">
        <v>0</v>
      </c>
      <c r="J238" s="38" t="s">
        <v>0</v>
      </c>
      <c r="K238" s="38" t="s">
        <v>0</v>
      </c>
      <c r="L238" s="38" t="s">
        <v>0</v>
      </c>
      <c r="M238" s="61">
        <f>M239</f>
        <v>123209221.18000001</v>
      </c>
      <c r="N238" s="61">
        <f t="shared" si="100"/>
        <v>104550751.95</v>
      </c>
      <c r="O238" s="61">
        <f t="shared" si="100"/>
        <v>104550751.95</v>
      </c>
      <c r="P238" s="62">
        <f t="shared" si="85"/>
        <v>0.84856272078255168</v>
      </c>
    </row>
    <row r="239" spans="1:16" s="35" customFormat="1" ht="15" customHeight="1" x14ac:dyDescent="0.25">
      <c r="A239" s="36" t="s">
        <v>156</v>
      </c>
      <c r="B239" s="32" t="s">
        <v>178</v>
      </c>
      <c r="C239" s="32" t="s">
        <v>15</v>
      </c>
      <c r="D239" s="32" t="s">
        <v>186</v>
      </c>
      <c r="E239" s="32" t="s">
        <v>32</v>
      </c>
      <c r="F239" s="32" t="s">
        <v>106</v>
      </c>
      <c r="G239" s="32" t="s">
        <v>0</v>
      </c>
      <c r="H239" s="32" t="s">
        <v>0</v>
      </c>
      <c r="I239" s="32" t="s">
        <v>0</v>
      </c>
      <c r="J239" s="32" t="s">
        <v>0</v>
      </c>
      <c r="K239" s="32" t="s">
        <v>0</v>
      </c>
      <c r="L239" s="32" t="s">
        <v>0</v>
      </c>
      <c r="M239" s="61">
        <f>M240</f>
        <v>123209221.18000001</v>
      </c>
      <c r="N239" s="61">
        <f t="shared" si="100"/>
        <v>104550751.95</v>
      </c>
      <c r="O239" s="61">
        <f t="shared" si="100"/>
        <v>104550751.95</v>
      </c>
      <c r="P239" s="62">
        <f t="shared" si="85"/>
        <v>0.84856272078255168</v>
      </c>
    </row>
    <row r="240" spans="1:16" s="35" customFormat="1" ht="38.25" customHeight="1" x14ac:dyDescent="0.25">
      <c r="A240" s="36" t="s">
        <v>157</v>
      </c>
      <c r="B240" s="32" t="s">
        <v>178</v>
      </c>
      <c r="C240" s="32" t="s">
        <v>15</v>
      </c>
      <c r="D240" s="32" t="s">
        <v>186</v>
      </c>
      <c r="E240" s="32" t="s">
        <v>32</v>
      </c>
      <c r="F240" s="32" t="s">
        <v>106</v>
      </c>
      <c r="G240" s="32" t="s">
        <v>65</v>
      </c>
      <c r="H240" s="32" t="s">
        <v>0</v>
      </c>
      <c r="I240" s="32" t="s">
        <v>0</v>
      </c>
      <c r="J240" s="32" t="s">
        <v>0</v>
      </c>
      <c r="K240" s="32" t="s">
        <v>0</v>
      </c>
      <c r="L240" s="32" t="s">
        <v>0</v>
      </c>
      <c r="M240" s="61">
        <f>M241</f>
        <v>123209221.18000001</v>
      </c>
      <c r="N240" s="61">
        <f t="shared" si="100"/>
        <v>104550751.95</v>
      </c>
      <c r="O240" s="61">
        <f t="shared" si="100"/>
        <v>104550751.95</v>
      </c>
      <c r="P240" s="62">
        <f t="shared" si="85"/>
        <v>0.84856272078255168</v>
      </c>
    </row>
    <row r="241" spans="1:16" s="35" customFormat="1" ht="54.75" customHeight="1" x14ac:dyDescent="0.25">
      <c r="A241" s="37" t="s">
        <v>416</v>
      </c>
      <c r="B241" s="32" t="s">
        <v>178</v>
      </c>
      <c r="C241" s="32" t="s">
        <v>15</v>
      </c>
      <c r="D241" s="32" t="s">
        <v>186</v>
      </c>
      <c r="E241" s="32" t="s">
        <v>32</v>
      </c>
      <c r="F241" s="32" t="s">
        <v>106</v>
      </c>
      <c r="G241" s="32" t="s">
        <v>65</v>
      </c>
      <c r="H241" s="32" t="s">
        <v>417</v>
      </c>
      <c r="I241" s="38" t="s">
        <v>0</v>
      </c>
      <c r="J241" s="38" t="s">
        <v>0</v>
      </c>
      <c r="K241" s="38" t="s">
        <v>0</v>
      </c>
      <c r="L241" s="38" t="s">
        <v>0</v>
      </c>
      <c r="M241" s="61">
        <f>M242</f>
        <v>123209221.18000001</v>
      </c>
      <c r="N241" s="61">
        <f t="shared" si="100"/>
        <v>104550751.95</v>
      </c>
      <c r="O241" s="61">
        <f t="shared" si="100"/>
        <v>104550751.95</v>
      </c>
      <c r="P241" s="62">
        <f t="shared" si="85"/>
        <v>0.84856272078255168</v>
      </c>
    </row>
    <row r="242" spans="1:16" s="35" customFormat="1" ht="72.75" customHeight="1" x14ac:dyDescent="0.25">
      <c r="A242" s="37" t="s">
        <v>258</v>
      </c>
      <c r="B242" s="32" t="s">
        <v>178</v>
      </c>
      <c r="C242" s="32" t="s">
        <v>15</v>
      </c>
      <c r="D242" s="32" t="s">
        <v>186</v>
      </c>
      <c r="E242" s="32" t="s">
        <v>32</v>
      </c>
      <c r="F242" s="32" t="s">
        <v>106</v>
      </c>
      <c r="G242" s="32" t="s">
        <v>65</v>
      </c>
      <c r="H242" s="32" t="s">
        <v>417</v>
      </c>
      <c r="I242" s="32" t="s">
        <v>259</v>
      </c>
      <c r="J242" s="32" t="s">
        <v>0</v>
      </c>
      <c r="K242" s="32" t="s">
        <v>0</v>
      </c>
      <c r="L242" s="32" t="s">
        <v>0</v>
      </c>
      <c r="M242" s="61">
        <f>M243+M246+M248</f>
        <v>123209221.18000001</v>
      </c>
      <c r="N242" s="61">
        <f t="shared" ref="N242:O242" si="101">N243+N246+N248</f>
        <v>104550751.95</v>
      </c>
      <c r="O242" s="61">
        <f t="shared" si="101"/>
        <v>104550751.95</v>
      </c>
      <c r="P242" s="62">
        <f t="shared" si="85"/>
        <v>0.84856272078255168</v>
      </c>
    </row>
    <row r="243" spans="1:16" s="35" customFormat="1" ht="15" customHeight="1" x14ac:dyDescent="0.25">
      <c r="A243" s="37" t="s">
        <v>336</v>
      </c>
      <c r="B243" s="39" t="s">
        <v>0</v>
      </c>
      <c r="C243" s="39" t="s">
        <v>0</v>
      </c>
      <c r="D243" s="39" t="s">
        <v>0</v>
      </c>
      <c r="E243" s="39" t="s">
        <v>0</v>
      </c>
      <c r="F243" s="39" t="s">
        <v>0</v>
      </c>
      <c r="G243" s="39" t="s">
        <v>0</v>
      </c>
      <c r="H243" s="39" t="s">
        <v>0</v>
      </c>
      <c r="I243" s="39" t="s">
        <v>0</v>
      </c>
      <c r="J243" s="39" t="s">
        <v>0</v>
      </c>
      <c r="K243" s="39" t="s">
        <v>0</v>
      </c>
      <c r="L243" s="39" t="s">
        <v>0</v>
      </c>
      <c r="M243" s="61">
        <f>M244+M245</f>
        <v>28461510.18</v>
      </c>
      <c r="N243" s="61">
        <f t="shared" ref="N243:O243" si="102">N244+N245</f>
        <v>11392496.9</v>
      </c>
      <c r="O243" s="61">
        <f t="shared" si="102"/>
        <v>11392496.9</v>
      </c>
      <c r="P243" s="62">
        <f t="shared" si="85"/>
        <v>0.40027731585394044</v>
      </c>
    </row>
    <row r="244" spans="1:16" ht="96.6" customHeight="1" x14ac:dyDescent="0.25">
      <c r="A244" s="70" t="s">
        <v>420</v>
      </c>
      <c r="B244" s="71" t="s">
        <v>178</v>
      </c>
      <c r="C244" s="71" t="s">
        <v>15</v>
      </c>
      <c r="D244" s="71" t="s">
        <v>186</v>
      </c>
      <c r="E244" s="71" t="s">
        <v>32</v>
      </c>
      <c r="F244" s="71" t="s">
        <v>106</v>
      </c>
      <c r="G244" s="71" t="s">
        <v>65</v>
      </c>
      <c r="H244" s="71" t="s">
        <v>417</v>
      </c>
      <c r="I244" s="71" t="s">
        <v>259</v>
      </c>
      <c r="J244" s="72" t="s">
        <v>161</v>
      </c>
      <c r="K244" s="72"/>
      <c r="L244" s="72">
        <v>2019</v>
      </c>
      <c r="M244" s="73">
        <f>10983964.4-8966112.72</f>
        <v>2017851.6799999997</v>
      </c>
      <c r="N244" s="73">
        <v>2017851.68</v>
      </c>
      <c r="O244" s="73">
        <v>2017851.68</v>
      </c>
      <c r="P244" s="74">
        <f t="shared" si="85"/>
        <v>1.0000000000000002</v>
      </c>
    </row>
    <row r="245" spans="1:16" ht="96.6" customHeight="1" x14ac:dyDescent="0.25">
      <c r="A245" s="70" t="s">
        <v>421</v>
      </c>
      <c r="B245" s="71" t="s">
        <v>178</v>
      </c>
      <c r="C245" s="71" t="s">
        <v>15</v>
      </c>
      <c r="D245" s="71" t="s">
        <v>186</v>
      </c>
      <c r="E245" s="71" t="s">
        <v>32</v>
      </c>
      <c r="F245" s="71" t="s">
        <v>106</v>
      </c>
      <c r="G245" s="71" t="s">
        <v>65</v>
      </c>
      <c r="H245" s="71" t="s">
        <v>417</v>
      </c>
      <c r="I245" s="71" t="s">
        <v>259</v>
      </c>
      <c r="J245" s="72" t="s">
        <v>161</v>
      </c>
      <c r="K245" s="72" t="s">
        <v>422</v>
      </c>
      <c r="L245" s="72" t="s">
        <v>53</v>
      </c>
      <c r="M245" s="73">
        <f>26510099-66440.5</f>
        <v>26443658.5</v>
      </c>
      <c r="N245" s="73">
        <v>9374645.2200000007</v>
      </c>
      <c r="O245" s="73">
        <v>9374645.2200000007</v>
      </c>
      <c r="P245" s="74">
        <f t="shared" si="85"/>
        <v>0.35451392703471801</v>
      </c>
    </row>
    <row r="246" spans="1:16" s="35" customFormat="1" ht="15" customHeight="1" x14ac:dyDescent="0.25">
      <c r="A246" s="37" t="s">
        <v>293</v>
      </c>
      <c r="B246" s="39" t="s">
        <v>0</v>
      </c>
      <c r="C246" s="39" t="s">
        <v>0</v>
      </c>
      <c r="D246" s="39" t="s">
        <v>0</v>
      </c>
      <c r="E246" s="39" t="s">
        <v>0</v>
      </c>
      <c r="F246" s="39" t="s">
        <v>0</v>
      </c>
      <c r="G246" s="39" t="s">
        <v>0</v>
      </c>
      <c r="H246" s="39" t="s">
        <v>0</v>
      </c>
      <c r="I246" s="39" t="s">
        <v>0</v>
      </c>
      <c r="J246" s="39" t="s">
        <v>0</v>
      </c>
      <c r="K246" s="39" t="s">
        <v>0</v>
      </c>
      <c r="L246" s="39"/>
      <c r="M246" s="61">
        <f>M247</f>
        <v>86577927</v>
      </c>
      <c r="N246" s="61">
        <f t="shared" ref="N246:O246" si="103">N247</f>
        <v>85125191.939999998</v>
      </c>
      <c r="O246" s="61">
        <f t="shared" si="103"/>
        <v>85125191.939999998</v>
      </c>
      <c r="P246" s="62">
        <f t="shared" si="85"/>
        <v>0.98322049152320312</v>
      </c>
    </row>
    <row r="247" spans="1:16" ht="64.5" customHeight="1" x14ac:dyDescent="0.25">
      <c r="A247" s="70" t="s">
        <v>423</v>
      </c>
      <c r="B247" s="71" t="s">
        <v>178</v>
      </c>
      <c r="C247" s="71" t="s">
        <v>15</v>
      </c>
      <c r="D247" s="71" t="s">
        <v>186</v>
      </c>
      <c r="E247" s="71" t="s">
        <v>32</v>
      </c>
      <c r="F247" s="71" t="s">
        <v>106</v>
      </c>
      <c r="G247" s="71" t="s">
        <v>65</v>
      </c>
      <c r="H247" s="71" t="s">
        <v>417</v>
      </c>
      <c r="I247" s="71" t="s">
        <v>259</v>
      </c>
      <c r="J247" s="72" t="s">
        <v>161</v>
      </c>
      <c r="K247" s="72" t="s">
        <v>424</v>
      </c>
      <c r="L247" s="72" t="s">
        <v>53</v>
      </c>
      <c r="M247" s="73">
        <f>171106661-84528734</f>
        <v>86577927</v>
      </c>
      <c r="N247" s="73">
        <v>85125191.939999998</v>
      </c>
      <c r="O247" s="73">
        <v>85125191.939999998</v>
      </c>
      <c r="P247" s="74">
        <f t="shared" si="85"/>
        <v>0.98322049152320312</v>
      </c>
    </row>
    <row r="248" spans="1:16" s="35" customFormat="1" ht="15" customHeight="1" x14ac:dyDescent="0.25">
      <c r="A248" s="37" t="s">
        <v>383</v>
      </c>
      <c r="B248" s="39" t="s">
        <v>0</v>
      </c>
      <c r="C248" s="39" t="s">
        <v>0</v>
      </c>
      <c r="D248" s="39" t="s">
        <v>0</v>
      </c>
      <c r="E248" s="39" t="s">
        <v>0</v>
      </c>
      <c r="F248" s="39" t="s">
        <v>0</v>
      </c>
      <c r="G248" s="39" t="s">
        <v>0</v>
      </c>
      <c r="H248" s="39" t="s">
        <v>0</v>
      </c>
      <c r="I248" s="39" t="s">
        <v>0</v>
      </c>
      <c r="J248" s="39" t="s">
        <v>0</v>
      </c>
      <c r="K248" s="39" t="s">
        <v>0</v>
      </c>
      <c r="L248" s="39" t="s">
        <v>0</v>
      </c>
      <c r="M248" s="61">
        <f>M249</f>
        <v>8169784</v>
      </c>
      <c r="N248" s="61">
        <f t="shared" ref="N248:O248" si="104">N249</f>
        <v>8033063.1100000003</v>
      </c>
      <c r="O248" s="61">
        <f t="shared" si="104"/>
        <v>8033063.1100000003</v>
      </c>
      <c r="P248" s="62">
        <f t="shared" si="85"/>
        <v>0.98326505449838086</v>
      </c>
    </row>
    <row r="249" spans="1:16" ht="48.9" customHeight="1" x14ac:dyDescent="0.25">
      <c r="A249" s="70" t="s">
        <v>425</v>
      </c>
      <c r="B249" s="71" t="s">
        <v>178</v>
      </c>
      <c r="C249" s="71" t="s">
        <v>15</v>
      </c>
      <c r="D249" s="71" t="s">
        <v>186</v>
      </c>
      <c r="E249" s="71" t="s">
        <v>32</v>
      </c>
      <c r="F249" s="71" t="s">
        <v>106</v>
      </c>
      <c r="G249" s="71" t="s">
        <v>65</v>
      </c>
      <c r="H249" s="71" t="s">
        <v>417</v>
      </c>
      <c r="I249" s="71" t="s">
        <v>259</v>
      </c>
      <c r="J249" s="72" t="s">
        <v>161</v>
      </c>
      <c r="K249" s="72" t="s">
        <v>426</v>
      </c>
      <c r="L249" s="72" t="s">
        <v>53</v>
      </c>
      <c r="M249" s="73">
        <v>8169784</v>
      </c>
      <c r="N249" s="73">
        <v>8033063.1100000003</v>
      </c>
      <c r="O249" s="73">
        <v>8033063.1100000003</v>
      </c>
      <c r="P249" s="74">
        <f t="shared" si="85"/>
        <v>0.98326505449838086</v>
      </c>
    </row>
    <row r="250" spans="1:16" s="35" customFormat="1" ht="15.6" x14ac:dyDescent="0.25">
      <c r="A250" s="37" t="s">
        <v>510</v>
      </c>
      <c r="B250" s="32" t="s">
        <v>178</v>
      </c>
      <c r="C250" s="32" t="s">
        <v>15</v>
      </c>
      <c r="D250" s="32" t="s">
        <v>509</v>
      </c>
      <c r="E250" s="32" t="s">
        <v>0</v>
      </c>
      <c r="F250" s="32" t="s">
        <v>0</v>
      </c>
      <c r="G250" s="32" t="s">
        <v>0</v>
      </c>
      <c r="H250" s="38" t="s">
        <v>0</v>
      </c>
      <c r="I250" s="38" t="s">
        <v>0</v>
      </c>
      <c r="J250" s="38" t="s">
        <v>0</v>
      </c>
      <c r="K250" s="38" t="s">
        <v>0</v>
      </c>
      <c r="L250" s="38" t="s">
        <v>0</v>
      </c>
      <c r="M250" s="61">
        <f t="shared" ref="M250:O255" si="105">M251</f>
        <v>518135947.25999999</v>
      </c>
      <c r="N250" s="61">
        <f t="shared" si="105"/>
        <v>488947922.94</v>
      </c>
      <c r="O250" s="61">
        <f t="shared" si="105"/>
        <v>488947922.94</v>
      </c>
      <c r="P250" s="62">
        <f t="shared" si="85"/>
        <v>0.94366724703361782</v>
      </c>
    </row>
    <row r="251" spans="1:16" s="35" customFormat="1" ht="32.25" customHeight="1" x14ac:dyDescent="0.25">
      <c r="A251" s="37" t="s">
        <v>31</v>
      </c>
      <c r="B251" s="32" t="s">
        <v>178</v>
      </c>
      <c r="C251" s="32" t="s">
        <v>15</v>
      </c>
      <c r="D251" s="32" t="s">
        <v>509</v>
      </c>
      <c r="E251" s="32" t="s">
        <v>32</v>
      </c>
      <c r="F251" s="32" t="s">
        <v>0</v>
      </c>
      <c r="G251" s="32" t="s">
        <v>0</v>
      </c>
      <c r="H251" s="38" t="s">
        <v>0</v>
      </c>
      <c r="I251" s="38" t="s">
        <v>0</v>
      </c>
      <c r="J251" s="38" t="s">
        <v>0</v>
      </c>
      <c r="K251" s="38" t="s">
        <v>0</v>
      </c>
      <c r="L251" s="38" t="s">
        <v>0</v>
      </c>
      <c r="M251" s="61">
        <f t="shared" si="105"/>
        <v>518135947.25999999</v>
      </c>
      <c r="N251" s="61">
        <f t="shared" si="105"/>
        <v>488947922.94</v>
      </c>
      <c r="O251" s="61">
        <f t="shared" si="105"/>
        <v>488947922.94</v>
      </c>
      <c r="P251" s="62">
        <f t="shared" si="85"/>
        <v>0.94366724703361782</v>
      </c>
    </row>
    <row r="252" spans="1:16" s="35" customFormat="1" ht="15" customHeight="1" x14ac:dyDescent="0.25">
      <c r="A252" s="36" t="s">
        <v>156</v>
      </c>
      <c r="B252" s="32" t="s">
        <v>178</v>
      </c>
      <c r="C252" s="32" t="s">
        <v>15</v>
      </c>
      <c r="D252" s="32" t="s">
        <v>509</v>
      </c>
      <c r="E252" s="32" t="s">
        <v>32</v>
      </c>
      <c r="F252" s="32" t="s">
        <v>106</v>
      </c>
      <c r="G252" s="32" t="s">
        <v>0</v>
      </c>
      <c r="H252" s="32" t="s">
        <v>0</v>
      </c>
      <c r="I252" s="32" t="s">
        <v>0</v>
      </c>
      <c r="J252" s="32" t="s">
        <v>0</v>
      </c>
      <c r="K252" s="32" t="s">
        <v>0</v>
      </c>
      <c r="L252" s="32" t="s">
        <v>0</v>
      </c>
      <c r="M252" s="61">
        <f t="shared" si="105"/>
        <v>518135947.25999999</v>
      </c>
      <c r="N252" s="61">
        <f t="shared" si="105"/>
        <v>488947922.94</v>
      </c>
      <c r="O252" s="61">
        <f t="shared" si="105"/>
        <v>488947922.94</v>
      </c>
      <c r="P252" s="62">
        <f t="shared" si="85"/>
        <v>0.94366724703361782</v>
      </c>
    </row>
    <row r="253" spans="1:16" s="35" customFormat="1" ht="32.25" customHeight="1" x14ac:dyDescent="0.25">
      <c r="A253" s="36" t="s">
        <v>157</v>
      </c>
      <c r="B253" s="32" t="s">
        <v>178</v>
      </c>
      <c r="C253" s="32" t="s">
        <v>15</v>
      </c>
      <c r="D253" s="32" t="s">
        <v>509</v>
      </c>
      <c r="E253" s="32" t="s">
        <v>32</v>
      </c>
      <c r="F253" s="32" t="s">
        <v>106</v>
      </c>
      <c r="G253" s="32" t="s">
        <v>65</v>
      </c>
      <c r="H253" s="32" t="s">
        <v>0</v>
      </c>
      <c r="I253" s="32" t="s">
        <v>0</v>
      </c>
      <c r="J253" s="32" t="s">
        <v>0</v>
      </c>
      <c r="K253" s="32" t="s">
        <v>0</v>
      </c>
      <c r="L253" s="32" t="s">
        <v>0</v>
      </c>
      <c r="M253" s="61">
        <f t="shared" si="105"/>
        <v>518135947.25999999</v>
      </c>
      <c r="N253" s="61">
        <f t="shared" si="105"/>
        <v>488947922.94</v>
      </c>
      <c r="O253" s="61">
        <f t="shared" si="105"/>
        <v>488947922.94</v>
      </c>
      <c r="P253" s="62">
        <f t="shared" si="85"/>
        <v>0.94366724703361782</v>
      </c>
    </row>
    <row r="254" spans="1:16" s="35" customFormat="1" ht="62.4" x14ac:dyDescent="0.25">
      <c r="A254" s="37" t="s">
        <v>512</v>
      </c>
      <c r="B254" s="32" t="s">
        <v>178</v>
      </c>
      <c r="C254" s="32" t="s">
        <v>15</v>
      </c>
      <c r="D254" s="32" t="s">
        <v>509</v>
      </c>
      <c r="E254" s="32" t="s">
        <v>32</v>
      </c>
      <c r="F254" s="32" t="s">
        <v>106</v>
      </c>
      <c r="G254" s="32" t="s">
        <v>65</v>
      </c>
      <c r="H254" s="32">
        <v>53930</v>
      </c>
      <c r="I254" s="38" t="s">
        <v>0</v>
      </c>
      <c r="J254" s="38" t="s">
        <v>0</v>
      </c>
      <c r="K254" s="38" t="s">
        <v>0</v>
      </c>
      <c r="L254" s="38" t="s">
        <v>0</v>
      </c>
      <c r="M254" s="61">
        <f t="shared" si="105"/>
        <v>518135947.25999999</v>
      </c>
      <c r="N254" s="61">
        <f t="shared" si="105"/>
        <v>488947922.94</v>
      </c>
      <c r="O254" s="61">
        <f t="shared" si="105"/>
        <v>488947922.94</v>
      </c>
      <c r="P254" s="62">
        <f t="shared" si="85"/>
        <v>0.94366724703361782</v>
      </c>
    </row>
    <row r="255" spans="1:16" s="35" customFormat="1" ht="15.6" x14ac:dyDescent="0.25">
      <c r="A255" s="37" t="s">
        <v>334</v>
      </c>
      <c r="B255" s="32" t="s">
        <v>178</v>
      </c>
      <c r="C255" s="32" t="s">
        <v>15</v>
      </c>
      <c r="D255" s="32" t="s">
        <v>509</v>
      </c>
      <c r="E255" s="32" t="s">
        <v>32</v>
      </c>
      <c r="F255" s="32" t="s">
        <v>106</v>
      </c>
      <c r="G255" s="32" t="s">
        <v>65</v>
      </c>
      <c r="H255" s="32">
        <v>53930</v>
      </c>
      <c r="I255" s="32">
        <v>540</v>
      </c>
      <c r="J255" s="32" t="s">
        <v>0</v>
      </c>
      <c r="K255" s="32" t="s">
        <v>0</v>
      </c>
      <c r="L255" s="32" t="s">
        <v>0</v>
      </c>
      <c r="M255" s="61">
        <f t="shared" si="105"/>
        <v>518135947.25999999</v>
      </c>
      <c r="N255" s="61">
        <f t="shared" si="105"/>
        <v>488947922.94</v>
      </c>
      <c r="O255" s="61">
        <f t="shared" si="105"/>
        <v>488947922.94</v>
      </c>
      <c r="P255" s="62">
        <f t="shared" si="85"/>
        <v>0.94366724703361782</v>
      </c>
    </row>
    <row r="256" spans="1:16" s="35" customFormat="1" ht="15.6" x14ac:dyDescent="0.25">
      <c r="A256" s="37" t="s">
        <v>336</v>
      </c>
      <c r="B256" s="39" t="s">
        <v>0</v>
      </c>
      <c r="C256" s="39" t="s">
        <v>0</v>
      </c>
      <c r="D256" s="39" t="s">
        <v>0</v>
      </c>
      <c r="E256" s="39" t="s">
        <v>0</v>
      </c>
      <c r="F256" s="39" t="s">
        <v>0</v>
      </c>
      <c r="G256" s="39" t="s">
        <v>0</v>
      </c>
      <c r="H256" s="39" t="s">
        <v>0</v>
      </c>
      <c r="I256" s="39" t="s">
        <v>0</v>
      </c>
      <c r="J256" s="39" t="s">
        <v>0</v>
      </c>
      <c r="K256" s="39" t="s">
        <v>0</v>
      </c>
      <c r="L256" s="39" t="s">
        <v>0</v>
      </c>
      <c r="M256" s="61">
        <f>M257+M258+M259</f>
        <v>518135947.25999999</v>
      </c>
      <c r="N256" s="61">
        <f t="shared" ref="N256:O256" si="106">N257+N258+N259</f>
        <v>488947922.94</v>
      </c>
      <c r="O256" s="61">
        <f t="shared" si="106"/>
        <v>488947922.94</v>
      </c>
      <c r="P256" s="62">
        <f t="shared" si="85"/>
        <v>0.94366724703361782</v>
      </c>
    </row>
    <row r="257" spans="1:16" ht="55.5" customHeight="1" x14ac:dyDescent="0.25">
      <c r="A257" s="70" t="s">
        <v>418</v>
      </c>
      <c r="B257" s="71" t="s">
        <v>178</v>
      </c>
      <c r="C257" s="71" t="s">
        <v>15</v>
      </c>
      <c r="D257" s="71" t="s">
        <v>509</v>
      </c>
      <c r="E257" s="71" t="s">
        <v>32</v>
      </c>
      <c r="F257" s="71" t="s">
        <v>106</v>
      </c>
      <c r="G257" s="71" t="s">
        <v>65</v>
      </c>
      <c r="H257" s="71">
        <v>53930</v>
      </c>
      <c r="I257" s="71">
        <v>540</v>
      </c>
      <c r="J257" s="72" t="s">
        <v>161</v>
      </c>
      <c r="K257" s="72" t="s">
        <v>419</v>
      </c>
      <c r="L257" s="72" t="s">
        <v>53</v>
      </c>
      <c r="M257" s="73">
        <f>217310918.06-1852566.72</f>
        <v>215458351.34</v>
      </c>
      <c r="N257" s="73">
        <v>215458351.34</v>
      </c>
      <c r="O257" s="73">
        <v>215458351.34</v>
      </c>
      <c r="P257" s="74">
        <f t="shared" si="85"/>
        <v>1</v>
      </c>
    </row>
    <row r="258" spans="1:16" ht="56.25" customHeight="1" x14ac:dyDescent="0.25">
      <c r="A258" s="70" t="s">
        <v>514</v>
      </c>
      <c r="B258" s="71" t="s">
        <v>178</v>
      </c>
      <c r="C258" s="71" t="s">
        <v>15</v>
      </c>
      <c r="D258" s="71" t="s">
        <v>509</v>
      </c>
      <c r="E258" s="71" t="s">
        <v>32</v>
      </c>
      <c r="F258" s="71" t="s">
        <v>106</v>
      </c>
      <c r="G258" s="71" t="s">
        <v>65</v>
      </c>
      <c r="H258" s="71">
        <v>53930</v>
      </c>
      <c r="I258" s="71">
        <v>540</v>
      </c>
      <c r="J258" s="72" t="s">
        <v>161</v>
      </c>
      <c r="K258" s="72">
        <v>0.71099999999999997</v>
      </c>
      <c r="L258" s="72">
        <v>2021</v>
      </c>
      <c r="M258" s="73">
        <v>125452595.92</v>
      </c>
      <c r="N258" s="73">
        <v>96264571.599999994</v>
      </c>
      <c r="O258" s="73">
        <v>96264571.599999994</v>
      </c>
      <c r="P258" s="74">
        <f t="shared" si="85"/>
        <v>0.76733821962031823</v>
      </c>
    </row>
    <row r="259" spans="1:16" ht="70.5" customHeight="1" x14ac:dyDescent="0.25">
      <c r="A259" s="70" t="s">
        <v>562</v>
      </c>
      <c r="B259" s="71" t="s">
        <v>178</v>
      </c>
      <c r="C259" s="71" t="s">
        <v>15</v>
      </c>
      <c r="D259" s="71" t="s">
        <v>509</v>
      </c>
      <c r="E259" s="71" t="s">
        <v>32</v>
      </c>
      <c r="F259" s="71" t="s">
        <v>106</v>
      </c>
      <c r="G259" s="71" t="s">
        <v>65</v>
      </c>
      <c r="H259" s="71">
        <v>53930</v>
      </c>
      <c r="I259" s="71">
        <v>540</v>
      </c>
      <c r="J259" s="72" t="s">
        <v>161</v>
      </c>
      <c r="K259" s="72">
        <v>1.7</v>
      </c>
      <c r="L259" s="72">
        <v>2022</v>
      </c>
      <c r="M259" s="73">
        <v>177225000</v>
      </c>
      <c r="N259" s="73">
        <v>177225000</v>
      </c>
      <c r="O259" s="73">
        <v>177225000</v>
      </c>
      <c r="P259" s="74">
        <f t="shared" si="85"/>
        <v>1</v>
      </c>
    </row>
    <row r="260" spans="1:16" s="35" customFormat="1" ht="48.9" customHeight="1" x14ac:dyDescent="0.25">
      <c r="A260" s="37" t="s">
        <v>427</v>
      </c>
      <c r="B260" s="32" t="s">
        <v>178</v>
      </c>
      <c r="C260" s="32" t="s">
        <v>16</v>
      </c>
      <c r="D260" s="32" t="s">
        <v>0</v>
      </c>
      <c r="E260" s="32" t="s">
        <v>0</v>
      </c>
      <c r="F260" s="32" t="s">
        <v>0</v>
      </c>
      <c r="G260" s="32" t="s">
        <v>0</v>
      </c>
      <c r="H260" s="38" t="s">
        <v>0</v>
      </c>
      <c r="I260" s="38" t="s">
        <v>0</v>
      </c>
      <c r="J260" s="38" t="s">
        <v>0</v>
      </c>
      <c r="K260" s="38" t="s">
        <v>0</v>
      </c>
      <c r="L260" s="38" t="s">
        <v>0</v>
      </c>
      <c r="M260" s="61">
        <f t="shared" ref="M260:O267" si="107">M261</f>
        <v>165610290</v>
      </c>
      <c r="N260" s="61">
        <f t="shared" si="107"/>
        <v>111126736.08</v>
      </c>
      <c r="O260" s="61">
        <f t="shared" si="107"/>
        <v>111126736.08</v>
      </c>
      <c r="P260" s="62">
        <f t="shared" si="85"/>
        <v>0.67101347434389491</v>
      </c>
    </row>
    <row r="261" spans="1:16" s="35" customFormat="1" ht="15" customHeight="1" x14ac:dyDescent="0.25">
      <c r="A261" s="37" t="s">
        <v>428</v>
      </c>
      <c r="B261" s="32" t="s">
        <v>178</v>
      </c>
      <c r="C261" s="32" t="s">
        <v>16</v>
      </c>
      <c r="D261" s="32" t="s">
        <v>429</v>
      </c>
      <c r="E261" s="32" t="s">
        <v>0</v>
      </c>
      <c r="F261" s="32" t="s">
        <v>0</v>
      </c>
      <c r="G261" s="32" t="s">
        <v>0</v>
      </c>
      <c r="H261" s="38" t="s">
        <v>0</v>
      </c>
      <c r="I261" s="38" t="s">
        <v>0</v>
      </c>
      <c r="J261" s="38" t="s">
        <v>0</v>
      </c>
      <c r="K261" s="38" t="s">
        <v>0</v>
      </c>
      <c r="L261" s="38" t="s">
        <v>0</v>
      </c>
      <c r="M261" s="61">
        <f t="shared" si="107"/>
        <v>165610290</v>
      </c>
      <c r="N261" s="61">
        <f t="shared" si="107"/>
        <v>111126736.08</v>
      </c>
      <c r="O261" s="61">
        <f t="shared" si="107"/>
        <v>111126736.08</v>
      </c>
      <c r="P261" s="62">
        <f t="shared" si="85"/>
        <v>0.67101347434389491</v>
      </c>
    </row>
    <row r="262" spans="1:16" s="35" customFormat="1" ht="32.25" customHeight="1" x14ac:dyDescent="0.25">
      <c r="A262" s="37" t="s">
        <v>31</v>
      </c>
      <c r="B262" s="32" t="s">
        <v>178</v>
      </c>
      <c r="C262" s="32" t="s">
        <v>16</v>
      </c>
      <c r="D262" s="32" t="s">
        <v>429</v>
      </c>
      <c r="E262" s="32" t="s">
        <v>32</v>
      </c>
      <c r="F262" s="32" t="s">
        <v>0</v>
      </c>
      <c r="G262" s="32" t="s">
        <v>0</v>
      </c>
      <c r="H262" s="38" t="s">
        <v>0</v>
      </c>
      <c r="I262" s="38" t="s">
        <v>0</v>
      </c>
      <c r="J262" s="38" t="s">
        <v>0</v>
      </c>
      <c r="K262" s="38" t="s">
        <v>0</v>
      </c>
      <c r="L262" s="38" t="s">
        <v>0</v>
      </c>
      <c r="M262" s="61">
        <f t="shared" si="107"/>
        <v>165610290</v>
      </c>
      <c r="N262" s="61">
        <f t="shared" si="107"/>
        <v>111126736.08</v>
      </c>
      <c r="O262" s="61">
        <f t="shared" si="107"/>
        <v>111126736.08</v>
      </c>
      <c r="P262" s="62">
        <f t="shared" si="85"/>
        <v>0.67101347434389491</v>
      </c>
    </row>
    <row r="263" spans="1:16" s="35" customFormat="1" ht="15" customHeight="1" x14ac:dyDescent="0.25">
      <c r="A263" s="36" t="s">
        <v>156</v>
      </c>
      <c r="B263" s="32" t="s">
        <v>178</v>
      </c>
      <c r="C263" s="32" t="s">
        <v>16</v>
      </c>
      <c r="D263" s="32" t="s">
        <v>429</v>
      </c>
      <c r="E263" s="32" t="s">
        <v>32</v>
      </c>
      <c r="F263" s="32" t="s">
        <v>106</v>
      </c>
      <c r="G263" s="32" t="s">
        <v>0</v>
      </c>
      <c r="H263" s="32" t="s">
        <v>0</v>
      </c>
      <c r="I263" s="32" t="s">
        <v>0</v>
      </c>
      <c r="J263" s="32" t="s">
        <v>0</v>
      </c>
      <c r="K263" s="32" t="s">
        <v>0</v>
      </c>
      <c r="L263" s="32" t="s">
        <v>0</v>
      </c>
      <c r="M263" s="61">
        <f t="shared" si="107"/>
        <v>165610290</v>
      </c>
      <c r="N263" s="61">
        <f t="shared" si="107"/>
        <v>111126736.08</v>
      </c>
      <c r="O263" s="61">
        <f t="shared" si="107"/>
        <v>111126736.08</v>
      </c>
      <c r="P263" s="62">
        <f t="shared" ref="P263:P320" si="108">O263/M263</f>
        <v>0.67101347434389491</v>
      </c>
    </row>
    <row r="264" spans="1:16" s="35" customFormat="1" ht="32.25" customHeight="1" x14ac:dyDescent="0.25">
      <c r="A264" s="36" t="s">
        <v>157</v>
      </c>
      <c r="B264" s="32" t="s">
        <v>178</v>
      </c>
      <c r="C264" s="32" t="s">
        <v>16</v>
      </c>
      <c r="D264" s="32" t="s">
        <v>429</v>
      </c>
      <c r="E264" s="32" t="s">
        <v>32</v>
      </c>
      <c r="F264" s="32" t="s">
        <v>106</v>
      </c>
      <c r="G264" s="32" t="s">
        <v>65</v>
      </c>
      <c r="H264" s="32" t="s">
        <v>0</v>
      </c>
      <c r="I264" s="32" t="s">
        <v>0</v>
      </c>
      <c r="J264" s="32" t="s">
        <v>0</v>
      </c>
      <c r="K264" s="32" t="s">
        <v>0</v>
      </c>
      <c r="L264" s="32" t="s">
        <v>0</v>
      </c>
      <c r="M264" s="61">
        <f t="shared" si="107"/>
        <v>165610290</v>
      </c>
      <c r="N264" s="61">
        <f t="shared" si="107"/>
        <v>111126736.08</v>
      </c>
      <c r="O264" s="61">
        <f t="shared" si="107"/>
        <v>111126736.08</v>
      </c>
      <c r="P264" s="62">
        <f t="shared" si="108"/>
        <v>0.67101347434389491</v>
      </c>
    </row>
    <row r="265" spans="1:16" s="35" customFormat="1" ht="48.9" customHeight="1" x14ac:dyDescent="0.25">
      <c r="A265" s="37" t="s">
        <v>430</v>
      </c>
      <c r="B265" s="32" t="s">
        <v>178</v>
      </c>
      <c r="C265" s="32" t="s">
        <v>16</v>
      </c>
      <c r="D265" s="32" t="s">
        <v>429</v>
      </c>
      <c r="E265" s="32" t="s">
        <v>32</v>
      </c>
      <c r="F265" s="32" t="s">
        <v>106</v>
      </c>
      <c r="G265" s="32" t="s">
        <v>65</v>
      </c>
      <c r="H265" s="32" t="s">
        <v>431</v>
      </c>
      <c r="I265" s="38" t="s">
        <v>0</v>
      </c>
      <c r="J265" s="38" t="s">
        <v>0</v>
      </c>
      <c r="K265" s="38" t="s">
        <v>0</v>
      </c>
      <c r="L265" s="38" t="s">
        <v>0</v>
      </c>
      <c r="M265" s="61">
        <f t="shared" si="107"/>
        <v>165610290</v>
      </c>
      <c r="N265" s="61">
        <f t="shared" si="107"/>
        <v>111126736.08</v>
      </c>
      <c r="O265" s="61">
        <f t="shared" si="107"/>
        <v>111126736.08</v>
      </c>
      <c r="P265" s="62">
        <f t="shared" si="108"/>
        <v>0.67101347434389491</v>
      </c>
    </row>
    <row r="266" spans="1:16" s="35" customFormat="1" ht="69.75" customHeight="1" x14ac:dyDescent="0.25">
      <c r="A266" s="37" t="s">
        <v>258</v>
      </c>
      <c r="B266" s="32" t="s">
        <v>178</v>
      </c>
      <c r="C266" s="32" t="s">
        <v>16</v>
      </c>
      <c r="D266" s="32" t="s">
        <v>429</v>
      </c>
      <c r="E266" s="32" t="s">
        <v>32</v>
      </c>
      <c r="F266" s="32" t="s">
        <v>106</v>
      </c>
      <c r="G266" s="32" t="s">
        <v>65</v>
      </c>
      <c r="H266" s="32" t="s">
        <v>431</v>
      </c>
      <c r="I266" s="32" t="s">
        <v>259</v>
      </c>
      <c r="J266" s="32" t="s">
        <v>0</v>
      </c>
      <c r="K266" s="32" t="s">
        <v>0</v>
      </c>
      <c r="L266" s="32" t="s">
        <v>0</v>
      </c>
      <c r="M266" s="61">
        <f t="shared" si="107"/>
        <v>165610290</v>
      </c>
      <c r="N266" s="61">
        <f t="shared" si="107"/>
        <v>111126736.08</v>
      </c>
      <c r="O266" s="61">
        <f t="shared" si="107"/>
        <v>111126736.08</v>
      </c>
      <c r="P266" s="62">
        <f t="shared" si="108"/>
        <v>0.67101347434389491</v>
      </c>
    </row>
    <row r="267" spans="1:16" s="35" customFormat="1" ht="15" customHeight="1" x14ac:dyDescent="0.25">
      <c r="A267" s="37" t="s">
        <v>336</v>
      </c>
      <c r="B267" s="39" t="s">
        <v>0</v>
      </c>
      <c r="C267" s="39" t="s">
        <v>0</v>
      </c>
      <c r="D267" s="39" t="s">
        <v>0</v>
      </c>
      <c r="E267" s="39" t="s">
        <v>0</v>
      </c>
      <c r="F267" s="39" t="s">
        <v>0</v>
      </c>
      <c r="G267" s="39" t="s">
        <v>0</v>
      </c>
      <c r="H267" s="39" t="s">
        <v>0</v>
      </c>
      <c r="I267" s="39" t="s">
        <v>0</v>
      </c>
      <c r="J267" s="39" t="s">
        <v>0</v>
      </c>
      <c r="K267" s="39" t="s">
        <v>0</v>
      </c>
      <c r="L267" s="39" t="s">
        <v>0</v>
      </c>
      <c r="M267" s="61">
        <f t="shared" si="107"/>
        <v>165610290</v>
      </c>
      <c r="N267" s="61">
        <f t="shared" si="107"/>
        <v>111126736.08</v>
      </c>
      <c r="O267" s="61">
        <f t="shared" si="107"/>
        <v>111126736.08</v>
      </c>
      <c r="P267" s="62">
        <f t="shared" si="108"/>
        <v>0.67101347434389491</v>
      </c>
    </row>
    <row r="268" spans="1:16" ht="72.75" customHeight="1" x14ac:dyDescent="0.25">
      <c r="A268" s="70" t="s">
        <v>432</v>
      </c>
      <c r="B268" s="71" t="s">
        <v>178</v>
      </c>
      <c r="C268" s="71" t="s">
        <v>16</v>
      </c>
      <c r="D268" s="71" t="s">
        <v>429</v>
      </c>
      <c r="E268" s="71" t="s">
        <v>32</v>
      </c>
      <c r="F268" s="71" t="s">
        <v>106</v>
      </c>
      <c r="G268" s="71" t="s">
        <v>65</v>
      </c>
      <c r="H268" s="71" t="s">
        <v>431</v>
      </c>
      <c r="I268" s="71" t="s">
        <v>259</v>
      </c>
      <c r="J268" s="72" t="s">
        <v>161</v>
      </c>
      <c r="K268" s="72" t="s">
        <v>433</v>
      </c>
      <c r="L268" s="72" t="s">
        <v>75</v>
      </c>
      <c r="M268" s="73">
        <v>165610290</v>
      </c>
      <c r="N268" s="73">
        <v>111126736.08</v>
      </c>
      <c r="O268" s="73">
        <v>111126736.08</v>
      </c>
      <c r="P268" s="74">
        <f t="shared" si="108"/>
        <v>0.67101347434389491</v>
      </c>
    </row>
    <row r="269" spans="1:16" s="35" customFormat="1" ht="87" customHeight="1" x14ac:dyDescent="0.25">
      <c r="A269" s="37" t="s">
        <v>434</v>
      </c>
      <c r="B269" s="32" t="s">
        <v>435</v>
      </c>
      <c r="C269" s="32" t="s">
        <v>0</v>
      </c>
      <c r="D269" s="32" t="s">
        <v>0</v>
      </c>
      <c r="E269" s="32" t="s">
        <v>0</v>
      </c>
      <c r="F269" s="32" t="s">
        <v>0</v>
      </c>
      <c r="G269" s="32" t="s">
        <v>0</v>
      </c>
      <c r="H269" s="38" t="s">
        <v>0</v>
      </c>
      <c r="I269" s="38" t="s">
        <v>0</v>
      </c>
      <c r="J269" s="38" t="s">
        <v>0</v>
      </c>
      <c r="K269" s="38" t="s">
        <v>0</v>
      </c>
      <c r="L269" s="38" t="s">
        <v>0</v>
      </c>
      <c r="M269" s="61">
        <f t="shared" ref="M269:O276" si="109">M270</f>
        <v>473375217.38999999</v>
      </c>
      <c r="N269" s="61">
        <f t="shared" si="109"/>
        <v>473375217.38999999</v>
      </c>
      <c r="O269" s="61">
        <f t="shared" si="109"/>
        <v>473375217.38999999</v>
      </c>
      <c r="P269" s="62">
        <f t="shared" si="108"/>
        <v>1</v>
      </c>
    </row>
    <row r="270" spans="1:16" s="35" customFormat="1" ht="32.25" customHeight="1" x14ac:dyDescent="0.25">
      <c r="A270" s="37" t="s">
        <v>436</v>
      </c>
      <c r="B270" s="32" t="s">
        <v>435</v>
      </c>
      <c r="C270" s="32" t="s">
        <v>30</v>
      </c>
      <c r="D270" s="32" t="s">
        <v>437</v>
      </c>
      <c r="E270" s="32" t="s">
        <v>0</v>
      </c>
      <c r="F270" s="32" t="s">
        <v>0</v>
      </c>
      <c r="G270" s="32" t="s">
        <v>0</v>
      </c>
      <c r="H270" s="38" t="s">
        <v>0</v>
      </c>
      <c r="I270" s="38" t="s">
        <v>0</v>
      </c>
      <c r="J270" s="38" t="s">
        <v>0</v>
      </c>
      <c r="K270" s="38" t="s">
        <v>0</v>
      </c>
      <c r="L270" s="38" t="s">
        <v>0</v>
      </c>
      <c r="M270" s="61">
        <f t="shared" si="109"/>
        <v>473375217.38999999</v>
      </c>
      <c r="N270" s="61">
        <f t="shared" si="109"/>
        <v>473375217.38999999</v>
      </c>
      <c r="O270" s="61">
        <f t="shared" si="109"/>
        <v>473375217.38999999</v>
      </c>
      <c r="P270" s="62">
        <f t="shared" si="108"/>
        <v>1</v>
      </c>
    </row>
    <row r="271" spans="1:16" s="35" customFormat="1" ht="32.25" customHeight="1" x14ac:dyDescent="0.25">
      <c r="A271" s="37" t="s">
        <v>31</v>
      </c>
      <c r="B271" s="32" t="s">
        <v>435</v>
      </c>
      <c r="C271" s="32" t="s">
        <v>30</v>
      </c>
      <c r="D271" s="32" t="s">
        <v>437</v>
      </c>
      <c r="E271" s="32" t="s">
        <v>32</v>
      </c>
      <c r="F271" s="32" t="s">
        <v>0</v>
      </c>
      <c r="G271" s="32" t="s">
        <v>0</v>
      </c>
      <c r="H271" s="38" t="s">
        <v>0</v>
      </c>
      <c r="I271" s="38" t="s">
        <v>0</v>
      </c>
      <c r="J271" s="38" t="s">
        <v>0</v>
      </c>
      <c r="K271" s="38" t="s">
        <v>0</v>
      </c>
      <c r="L271" s="38" t="s">
        <v>0</v>
      </c>
      <c r="M271" s="61">
        <f t="shared" si="109"/>
        <v>473375217.38999999</v>
      </c>
      <c r="N271" s="61">
        <f t="shared" si="109"/>
        <v>473375217.38999999</v>
      </c>
      <c r="O271" s="61">
        <f t="shared" si="109"/>
        <v>473375217.38999999</v>
      </c>
      <c r="P271" s="62">
        <f t="shared" si="108"/>
        <v>1</v>
      </c>
    </row>
    <row r="272" spans="1:16" s="35" customFormat="1" ht="15" customHeight="1" x14ac:dyDescent="0.25">
      <c r="A272" s="36" t="s">
        <v>138</v>
      </c>
      <c r="B272" s="32" t="s">
        <v>435</v>
      </c>
      <c r="C272" s="32" t="s">
        <v>30</v>
      </c>
      <c r="D272" s="32" t="s">
        <v>437</v>
      </c>
      <c r="E272" s="32" t="s">
        <v>32</v>
      </c>
      <c r="F272" s="32" t="s">
        <v>139</v>
      </c>
      <c r="G272" s="32" t="s">
        <v>0</v>
      </c>
      <c r="H272" s="32" t="s">
        <v>0</v>
      </c>
      <c r="I272" s="32" t="s">
        <v>0</v>
      </c>
      <c r="J272" s="32" t="s">
        <v>0</v>
      </c>
      <c r="K272" s="32" t="s">
        <v>0</v>
      </c>
      <c r="L272" s="32" t="s">
        <v>0</v>
      </c>
      <c r="M272" s="61">
        <f t="shared" si="109"/>
        <v>473375217.38999999</v>
      </c>
      <c r="N272" s="61">
        <f t="shared" si="109"/>
        <v>473375217.38999999</v>
      </c>
      <c r="O272" s="61">
        <f t="shared" si="109"/>
        <v>473375217.38999999</v>
      </c>
      <c r="P272" s="62">
        <f t="shared" si="108"/>
        <v>1</v>
      </c>
    </row>
    <row r="273" spans="1:16" s="35" customFormat="1" ht="15" customHeight="1" x14ac:dyDescent="0.25">
      <c r="A273" s="36" t="s">
        <v>143</v>
      </c>
      <c r="B273" s="32" t="s">
        <v>435</v>
      </c>
      <c r="C273" s="32" t="s">
        <v>30</v>
      </c>
      <c r="D273" s="32" t="s">
        <v>437</v>
      </c>
      <c r="E273" s="32" t="s">
        <v>32</v>
      </c>
      <c r="F273" s="32" t="s">
        <v>139</v>
      </c>
      <c r="G273" s="32" t="s">
        <v>28</v>
      </c>
      <c r="H273" s="32" t="s">
        <v>0</v>
      </c>
      <c r="I273" s="32" t="s">
        <v>0</v>
      </c>
      <c r="J273" s="32" t="s">
        <v>0</v>
      </c>
      <c r="K273" s="32" t="s">
        <v>0</v>
      </c>
      <c r="L273" s="32" t="s">
        <v>0</v>
      </c>
      <c r="M273" s="61">
        <f t="shared" si="109"/>
        <v>473375217.38999999</v>
      </c>
      <c r="N273" s="61">
        <f t="shared" si="109"/>
        <v>473375217.38999999</v>
      </c>
      <c r="O273" s="61">
        <f t="shared" si="109"/>
        <v>473375217.38999999</v>
      </c>
      <c r="P273" s="62">
        <f t="shared" si="108"/>
        <v>1</v>
      </c>
    </row>
    <row r="274" spans="1:16" s="35" customFormat="1" ht="32.25" customHeight="1" x14ac:dyDescent="0.25">
      <c r="A274" s="37" t="s">
        <v>438</v>
      </c>
      <c r="B274" s="32" t="s">
        <v>435</v>
      </c>
      <c r="C274" s="32" t="s">
        <v>30</v>
      </c>
      <c r="D274" s="32" t="s">
        <v>437</v>
      </c>
      <c r="E274" s="32" t="s">
        <v>32</v>
      </c>
      <c r="F274" s="32" t="s">
        <v>139</v>
      </c>
      <c r="G274" s="32" t="s">
        <v>28</v>
      </c>
      <c r="H274" s="32" t="s">
        <v>439</v>
      </c>
      <c r="I274" s="38" t="s">
        <v>0</v>
      </c>
      <c r="J274" s="38" t="s">
        <v>0</v>
      </c>
      <c r="K274" s="38" t="s">
        <v>0</v>
      </c>
      <c r="L274" s="38" t="s">
        <v>0</v>
      </c>
      <c r="M274" s="61">
        <f t="shared" si="109"/>
        <v>473375217.38999999</v>
      </c>
      <c r="N274" s="61">
        <f t="shared" si="109"/>
        <v>473375217.38999999</v>
      </c>
      <c r="O274" s="61">
        <f t="shared" si="109"/>
        <v>473375217.38999999</v>
      </c>
      <c r="P274" s="62">
        <f t="shared" si="108"/>
        <v>1</v>
      </c>
    </row>
    <row r="275" spans="1:16" s="35" customFormat="1" ht="64.5" customHeight="1" x14ac:dyDescent="0.25">
      <c r="A275" s="37" t="s">
        <v>258</v>
      </c>
      <c r="B275" s="32" t="s">
        <v>435</v>
      </c>
      <c r="C275" s="32" t="s">
        <v>30</v>
      </c>
      <c r="D275" s="32" t="s">
        <v>437</v>
      </c>
      <c r="E275" s="32" t="s">
        <v>32</v>
      </c>
      <c r="F275" s="32" t="s">
        <v>139</v>
      </c>
      <c r="G275" s="32" t="s">
        <v>28</v>
      </c>
      <c r="H275" s="32" t="s">
        <v>439</v>
      </c>
      <c r="I275" s="32" t="s">
        <v>259</v>
      </c>
      <c r="J275" s="32" t="s">
        <v>0</v>
      </c>
      <c r="K275" s="32" t="s">
        <v>0</v>
      </c>
      <c r="L275" s="32" t="s">
        <v>0</v>
      </c>
      <c r="M275" s="61">
        <f t="shared" si="109"/>
        <v>473375217.38999999</v>
      </c>
      <c r="N275" s="61">
        <f t="shared" si="109"/>
        <v>473375217.38999999</v>
      </c>
      <c r="O275" s="61">
        <f t="shared" si="109"/>
        <v>473375217.38999999</v>
      </c>
      <c r="P275" s="62">
        <f t="shared" si="108"/>
        <v>1</v>
      </c>
    </row>
    <row r="276" spans="1:16" s="35" customFormat="1" ht="15" customHeight="1" x14ac:dyDescent="0.25">
      <c r="A276" s="37" t="s">
        <v>336</v>
      </c>
      <c r="B276" s="39" t="s">
        <v>0</v>
      </c>
      <c r="C276" s="39" t="s">
        <v>0</v>
      </c>
      <c r="D276" s="39" t="s">
        <v>0</v>
      </c>
      <c r="E276" s="39" t="s">
        <v>0</v>
      </c>
      <c r="F276" s="39" t="s">
        <v>0</v>
      </c>
      <c r="G276" s="39" t="s">
        <v>0</v>
      </c>
      <c r="H276" s="39" t="s">
        <v>0</v>
      </c>
      <c r="I276" s="39" t="s">
        <v>0</v>
      </c>
      <c r="J276" s="39" t="s">
        <v>0</v>
      </c>
      <c r="K276" s="39" t="s">
        <v>0</v>
      </c>
      <c r="L276" s="39" t="s">
        <v>0</v>
      </c>
      <c r="M276" s="61">
        <f t="shared" si="109"/>
        <v>473375217.38999999</v>
      </c>
      <c r="N276" s="61">
        <f t="shared" si="109"/>
        <v>473375217.38999999</v>
      </c>
      <c r="O276" s="61">
        <f t="shared" si="109"/>
        <v>473375217.38999999</v>
      </c>
      <c r="P276" s="62">
        <f t="shared" si="108"/>
        <v>1</v>
      </c>
    </row>
    <row r="277" spans="1:16" ht="48.9" customHeight="1" x14ac:dyDescent="0.25">
      <c r="A277" s="4" t="s">
        <v>440</v>
      </c>
      <c r="B277" s="5" t="s">
        <v>435</v>
      </c>
      <c r="C277" s="5" t="s">
        <v>30</v>
      </c>
      <c r="D277" s="5" t="s">
        <v>437</v>
      </c>
      <c r="E277" s="5" t="s">
        <v>32</v>
      </c>
      <c r="F277" s="5" t="s">
        <v>139</v>
      </c>
      <c r="G277" s="5" t="s">
        <v>28</v>
      </c>
      <c r="H277" s="5" t="s">
        <v>439</v>
      </c>
      <c r="I277" s="5" t="s">
        <v>259</v>
      </c>
      <c r="J277" s="6" t="s">
        <v>441</v>
      </c>
      <c r="K277" s="6" t="s">
        <v>442</v>
      </c>
      <c r="L277" s="6" t="s">
        <v>41</v>
      </c>
      <c r="M277" s="63">
        <v>473375217.38999999</v>
      </c>
      <c r="N277" s="63">
        <v>473375217.38999999</v>
      </c>
      <c r="O277" s="63">
        <v>473375217.38999999</v>
      </c>
      <c r="P277" s="64">
        <f t="shared" si="108"/>
        <v>1</v>
      </c>
    </row>
    <row r="278" spans="1:16" s="35" customFormat="1" ht="32.25" customHeight="1" x14ac:dyDescent="0.25">
      <c r="A278" s="37" t="s">
        <v>207</v>
      </c>
      <c r="B278" s="32" t="s">
        <v>149</v>
      </c>
      <c r="C278" s="32" t="s">
        <v>0</v>
      </c>
      <c r="D278" s="32" t="s">
        <v>0</v>
      </c>
      <c r="E278" s="32" t="s">
        <v>0</v>
      </c>
      <c r="F278" s="32" t="s">
        <v>0</v>
      </c>
      <c r="G278" s="32" t="s">
        <v>0</v>
      </c>
      <c r="H278" s="38" t="s">
        <v>0</v>
      </c>
      <c r="I278" s="38" t="s">
        <v>0</v>
      </c>
      <c r="J278" s="38" t="s">
        <v>0</v>
      </c>
      <c r="K278" s="38" t="s">
        <v>0</v>
      </c>
      <c r="L278" s="38" t="s">
        <v>0</v>
      </c>
      <c r="M278" s="61">
        <f>M279</f>
        <v>444283193.51000005</v>
      </c>
      <c r="N278" s="61">
        <f t="shared" ref="N278:O280" si="110">N279</f>
        <v>216438587.56999999</v>
      </c>
      <c r="O278" s="61">
        <f t="shared" si="110"/>
        <v>216438587.56999999</v>
      </c>
      <c r="P278" s="62">
        <f t="shared" si="108"/>
        <v>0.48716357209026034</v>
      </c>
    </row>
    <row r="279" spans="1:16" s="35" customFormat="1" ht="32.25" customHeight="1" x14ac:dyDescent="0.25">
      <c r="A279" s="37" t="s">
        <v>208</v>
      </c>
      <c r="B279" s="32" t="s">
        <v>149</v>
      </c>
      <c r="C279" s="32" t="s">
        <v>30</v>
      </c>
      <c r="D279" s="32" t="s">
        <v>61</v>
      </c>
      <c r="E279" s="32" t="s">
        <v>0</v>
      </c>
      <c r="F279" s="32" t="s">
        <v>0</v>
      </c>
      <c r="G279" s="32" t="s">
        <v>0</v>
      </c>
      <c r="H279" s="38" t="s">
        <v>0</v>
      </c>
      <c r="I279" s="38" t="s">
        <v>0</v>
      </c>
      <c r="J279" s="38" t="s">
        <v>0</v>
      </c>
      <c r="K279" s="38" t="s">
        <v>0</v>
      </c>
      <c r="L279" s="38" t="s">
        <v>0</v>
      </c>
      <c r="M279" s="61">
        <f>M280</f>
        <v>444283193.51000005</v>
      </c>
      <c r="N279" s="61">
        <f t="shared" si="110"/>
        <v>216438587.56999999</v>
      </c>
      <c r="O279" s="61">
        <f t="shared" si="110"/>
        <v>216438587.56999999</v>
      </c>
      <c r="P279" s="62">
        <f t="shared" si="108"/>
        <v>0.48716357209026034</v>
      </c>
    </row>
    <row r="280" spans="1:16" s="35" customFormat="1" ht="32.25" customHeight="1" x14ac:dyDescent="0.25">
      <c r="A280" s="37" t="s">
        <v>31</v>
      </c>
      <c r="B280" s="32" t="s">
        <v>149</v>
      </c>
      <c r="C280" s="32" t="s">
        <v>30</v>
      </c>
      <c r="D280" s="32" t="s">
        <v>61</v>
      </c>
      <c r="E280" s="32" t="s">
        <v>32</v>
      </c>
      <c r="F280" s="32" t="s">
        <v>0</v>
      </c>
      <c r="G280" s="32" t="s">
        <v>0</v>
      </c>
      <c r="H280" s="38" t="s">
        <v>0</v>
      </c>
      <c r="I280" s="38" t="s">
        <v>0</v>
      </c>
      <c r="J280" s="38" t="s">
        <v>0</v>
      </c>
      <c r="K280" s="38" t="s">
        <v>0</v>
      </c>
      <c r="L280" s="38" t="s">
        <v>0</v>
      </c>
      <c r="M280" s="61">
        <f>M281</f>
        <v>444283193.51000005</v>
      </c>
      <c r="N280" s="61">
        <f t="shared" si="110"/>
        <v>216438587.56999999</v>
      </c>
      <c r="O280" s="61">
        <f t="shared" si="110"/>
        <v>216438587.56999999</v>
      </c>
      <c r="P280" s="62">
        <f t="shared" si="108"/>
        <v>0.48716357209026034</v>
      </c>
    </row>
    <row r="281" spans="1:16" s="35" customFormat="1" ht="15" customHeight="1" x14ac:dyDescent="0.25">
      <c r="A281" s="36" t="s">
        <v>209</v>
      </c>
      <c r="B281" s="32" t="s">
        <v>149</v>
      </c>
      <c r="C281" s="32" t="s">
        <v>30</v>
      </c>
      <c r="D281" s="32" t="s">
        <v>61</v>
      </c>
      <c r="E281" s="32" t="s">
        <v>32</v>
      </c>
      <c r="F281" s="32" t="s">
        <v>23</v>
      </c>
      <c r="G281" s="32" t="s">
        <v>0</v>
      </c>
      <c r="H281" s="32" t="s">
        <v>0</v>
      </c>
      <c r="I281" s="32" t="s">
        <v>0</v>
      </c>
      <c r="J281" s="32" t="s">
        <v>0</v>
      </c>
      <c r="K281" s="32" t="s">
        <v>0</v>
      </c>
      <c r="L281" s="32" t="s">
        <v>0</v>
      </c>
      <c r="M281" s="61">
        <f>M282+M298</f>
        <v>444283193.51000005</v>
      </c>
      <c r="N281" s="61">
        <f t="shared" ref="N281:O281" si="111">N282+N298</f>
        <v>216438587.56999999</v>
      </c>
      <c r="O281" s="61">
        <f t="shared" si="111"/>
        <v>216438587.56999999</v>
      </c>
      <c r="P281" s="62">
        <f t="shared" si="108"/>
        <v>0.48716357209026034</v>
      </c>
    </row>
    <row r="282" spans="1:16" s="35" customFormat="1" ht="15" customHeight="1" x14ac:dyDescent="0.25">
      <c r="A282" s="36" t="s">
        <v>210</v>
      </c>
      <c r="B282" s="32" t="s">
        <v>149</v>
      </c>
      <c r="C282" s="32" t="s">
        <v>30</v>
      </c>
      <c r="D282" s="32" t="s">
        <v>61</v>
      </c>
      <c r="E282" s="32" t="s">
        <v>32</v>
      </c>
      <c r="F282" s="32" t="s">
        <v>23</v>
      </c>
      <c r="G282" s="32" t="s">
        <v>71</v>
      </c>
      <c r="H282" s="32" t="s">
        <v>0</v>
      </c>
      <c r="I282" s="32" t="s">
        <v>0</v>
      </c>
      <c r="J282" s="32" t="s">
        <v>0</v>
      </c>
      <c r="K282" s="32" t="s">
        <v>0</v>
      </c>
      <c r="L282" s="32" t="s">
        <v>0</v>
      </c>
      <c r="M282" s="61">
        <f>M283</f>
        <v>359283193.51000005</v>
      </c>
      <c r="N282" s="61">
        <f t="shared" ref="N282:O283" si="112">N283</f>
        <v>200614228.25999999</v>
      </c>
      <c r="O282" s="61">
        <f t="shared" si="112"/>
        <v>200614228.25999999</v>
      </c>
      <c r="P282" s="62">
        <f t="shared" si="108"/>
        <v>0.5583735389905351</v>
      </c>
    </row>
    <row r="283" spans="1:16" s="35" customFormat="1" ht="57" customHeight="1" x14ac:dyDescent="0.25">
      <c r="A283" s="37" t="s">
        <v>289</v>
      </c>
      <c r="B283" s="32" t="s">
        <v>149</v>
      </c>
      <c r="C283" s="32" t="s">
        <v>30</v>
      </c>
      <c r="D283" s="32" t="s">
        <v>61</v>
      </c>
      <c r="E283" s="32" t="s">
        <v>32</v>
      </c>
      <c r="F283" s="32" t="s">
        <v>23</v>
      </c>
      <c r="G283" s="32" t="s">
        <v>71</v>
      </c>
      <c r="H283" s="32" t="s">
        <v>290</v>
      </c>
      <c r="I283" s="38" t="s">
        <v>0</v>
      </c>
      <c r="J283" s="38" t="s">
        <v>0</v>
      </c>
      <c r="K283" s="38" t="s">
        <v>0</v>
      </c>
      <c r="L283" s="38" t="s">
        <v>0</v>
      </c>
      <c r="M283" s="61">
        <f>M284</f>
        <v>359283193.51000005</v>
      </c>
      <c r="N283" s="61">
        <f t="shared" si="112"/>
        <v>200614228.25999999</v>
      </c>
      <c r="O283" s="61">
        <f t="shared" si="112"/>
        <v>200614228.25999999</v>
      </c>
      <c r="P283" s="62">
        <f t="shared" si="108"/>
        <v>0.5583735389905351</v>
      </c>
    </row>
    <row r="284" spans="1:16" s="35" customFormat="1" ht="71.25" customHeight="1" x14ac:dyDescent="0.25">
      <c r="A284" s="37" t="s">
        <v>258</v>
      </c>
      <c r="B284" s="32" t="s">
        <v>149</v>
      </c>
      <c r="C284" s="32" t="s">
        <v>30</v>
      </c>
      <c r="D284" s="32" t="s">
        <v>61</v>
      </c>
      <c r="E284" s="32" t="s">
        <v>32</v>
      </c>
      <c r="F284" s="32" t="s">
        <v>23</v>
      </c>
      <c r="G284" s="32" t="s">
        <v>71</v>
      </c>
      <c r="H284" s="32" t="s">
        <v>290</v>
      </c>
      <c r="I284" s="32" t="s">
        <v>259</v>
      </c>
      <c r="J284" s="32" t="s">
        <v>0</v>
      </c>
      <c r="K284" s="32" t="s">
        <v>0</v>
      </c>
      <c r="L284" s="32" t="s">
        <v>0</v>
      </c>
      <c r="M284" s="61">
        <f>M285+M288+M290+M292+M294+M296</f>
        <v>359283193.51000005</v>
      </c>
      <c r="N284" s="61">
        <f t="shared" ref="N284:O284" si="113">N285+N288+N290+N292+N294+N296</f>
        <v>200614228.25999999</v>
      </c>
      <c r="O284" s="61">
        <f t="shared" si="113"/>
        <v>200614228.25999999</v>
      </c>
      <c r="P284" s="62">
        <f t="shared" si="108"/>
        <v>0.5583735389905351</v>
      </c>
    </row>
    <row r="285" spans="1:16" s="35" customFormat="1" ht="15" customHeight="1" x14ac:dyDescent="0.25">
      <c r="A285" s="37" t="s">
        <v>336</v>
      </c>
      <c r="B285" s="39" t="s">
        <v>0</v>
      </c>
      <c r="C285" s="39" t="s">
        <v>0</v>
      </c>
      <c r="D285" s="39" t="s">
        <v>0</v>
      </c>
      <c r="E285" s="39" t="s">
        <v>0</v>
      </c>
      <c r="F285" s="39" t="s">
        <v>0</v>
      </c>
      <c r="G285" s="39" t="s">
        <v>0</v>
      </c>
      <c r="H285" s="39" t="s">
        <v>0</v>
      </c>
      <c r="I285" s="39" t="s">
        <v>0</v>
      </c>
      <c r="J285" s="39" t="s">
        <v>0</v>
      </c>
      <c r="K285" s="39" t="s">
        <v>0</v>
      </c>
      <c r="L285" s="39" t="s">
        <v>0</v>
      </c>
      <c r="M285" s="61">
        <f>M286+M287</f>
        <v>159759316.34</v>
      </c>
      <c r="N285" s="61">
        <f t="shared" ref="N285:O285" si="114">N286+N287</f>
        <v>43882552.030000001</v>
      </c>
      <c r="O285" s="61">
        <f t="shared" si="114"/>
        <v>43882552.030000001</v>
      </c>
      <c r="P285" s="62">
        <f t="shared" si="108"/>
        <v>0.27467914257099779</v>
      </c>
    </row>
    <row r="286" spans="1:16" ht="41.25" customHeight="1" x14ac:dyDescent="0.25">
      <c r="A286" s="4" t="s">
        <v>213</v>
      </c>
      <c r="B286" s="5" t="s">
        <v>149</v>
      </c>
      <c r="C286" s="5" t="s">
        <v>30</v>
      </c>
      <c r="D286" s="5" t="s">
        <v>61</v>
      </c>
      <c r="E286" s="5" t="s">
        <v>32</v>
      </c>
      <c r="F286" s="5" t="s">
        <v>23</v>
      </c>
      <c r="G286" s="5" t="s">
        <v>71</v>
      </c>
      <c r="H286" s="5" t="s">
        <v>290</v>
      </c>
      <c r="I286" s="5" t="s">
        <v>259</v>
      </c>
      <c r="J286" s="6" t="s">
        <v>148</v>
      </c>
      <c r="K286" s="6" t="s">
        <v>212</v>
      </c>
      <c r="L286" s="6" t="s">
        <v>41</v>
      </c>
      <c r="M286" s="63">
        <v>76000000</v>
      </c>
      <c r="N286" s="63">
        <v>28765918.41</v>
      </c>
      <c r="O286" s="63">
        <v>28765918.41</v>
      </c>
      <c r="P286" s="64">
        <f t="shared" si="108"/>
        <v>0.37849892644736843</v>
      </c>
    </row>
    <row r="287" spans="1:16" ht="35.25" customHeight="1" x14ac:dyDescent="0.25">
      <c r="A287" s="4" t="s">
        <v>214</v>
      </c>
      <c r="B287" s="5" t="s">
        <v>149</v>
      </c>
      <c r="C287" s="5" t="s">
        <v>30</v>
      </c>
      <c r="D287" s="5" t="s">
        <v>61</v>
      </c>
      <c r="E287" s="5" t="s">
        <v>32</v>
      </c>
      <c r="F287" s="5" t="s">
        <v>23</v>
      </c>
      <c r="G287" s="5" t="s">
        <v>71</v>
      </c>
      <c r="H287" s="5" t="s">
        <v>290</v>
      </c>
      <c r="I287" s="5" t="s">
        <v>259</v>
      </c>
      <c r="J287" s="6" t="s">
        <v>148</v>
      </c>
      <c r="K287" s="6" t="s">
        <v>212</v>
      </c>
      <c r="L287" s="6" t="s">
        <v>41</v>
      </c>
      <c r="M287" s="63">
        <v>83759316.340000004</v>
      </c>
      <c r="N287" s="63">
        <v>15116633.619999999</v>
      </c>
      <c r="O287" s="63">
        <v>15116633.619999999</v>
      </c>
      <c r="P287" s="64">
        <f t="shared" si="108"/>
        <v>0.18047704160618747</v>
      </c>
    </row>
    <row r="288" spans="1:16" s="35" customFormat="1" ht="31.2" x14ac:dyDescent="0.25">
      <c r="A288" s="37" t="s">
        <v>455</v>
      </c>
      <c r="B288" s="39" t="s">
        <v>0</v>
      </c>
      <c r="C288" s="39" t="s">
        <v>0</v>
      </c>
      <c r="D288" s="39" t="s">
        <v>0</v>
      </c>
      <c r="E288" s="39" t="s">
        <v>0</v>
      </c>
      <c r="F288" s="39" t="s">
        <v>0</v>
      </c>
      <c r="G288" s="39" t="s">
        <v>0</v>
      </c>
      <c r="H288" s="39" t="s">
        <v>0</v>
      </c>
      <c r="I288" s="39" t="s">
        <v>0</v>
      </c>
      <c r="J288" s="39" t="s">
        <v>0</v>
      </c>
      <c r="K288" s="39" t="s">
        <v>0</v>
      </c>
      <c r="L288" s="39" t="s">
        <v>0</v>
      </c>
      <c r="M288" s="61">
        <f>M289</f>
        <v>60000000</v>
      </c>
      <c r="N288" s="61">
        <f t="shared" ref="N288:O288" si="115">N289</f>
        <v>50330388.229999997</v>
      </c>
      <c r="O288" s="61">
        <f t="shared" si="115"/>
        <v>50330388.229999997</v>
      </c>
      <c r="P288" s="62">
        <f t="shared" si="108"/>
        <v>0.83883980383333323</v>
      </c>
    </row>
    <row r="289" spans="1:16" ht="34.5" customHeight="1" x14ac:dyDescent="0.25">
      <c r="A289" s="4" t="s">
        <v>215</v>
      </c>
      <c r="B289" s="5" t="s">
        <v>149</v>
      </c>
      <c r="C289" s="5" t="s">
        <v>30</v>
      </c>
      <c r="D289" s="5" t="s">
        <v>61</v>
      </c>
      <c r="E289" s="5" t="s">
        <v>32</v>
      </c>
      <c r="F289" s="5" t="s">
        <v>23</v>
      </c>
      <c r="G289" s="5" t="s">
        <v>71</v>
      </c>
      <c r="H289" s="5" t="s">
        <v>290</v>
      </c>
      <c r="I289" s="5" t="s">
        <v>259</v>
      </c>
      <c r="J289" s="6" t="s">
        <v>148</v>
      </c>
      <c r="K289" s="6" t="s">
        <v>212</v>
      </c>
      <c r="L289" s="6" t="s">
        <v>41</v>
      </c>
      <c r="M289" s="63">
        <v>60000000</v>
      </c>
      <c r="N289" s="63">
        <v>50330388.229999997</v>
      </c>
      <c r="O289" s="63">
        <v>50330388.229999997</v>
      </c>
      <c r="P289" s="64">
        <f t="shared" si="108"/>
        <v>0.83883980383333323</v>
      </c>
    </row>
    <row r="290" spans="1:16" s="35" customFormat="1" ht="15" customHeight="1" x14ac:dyDescent="0.25">
      <c r="A290" s="37" t="s">
        <v>454</v>
      </c>
      <c r="B290" s="39" t="s">
        <v>0</v>
      </c>
      <c r="C290" s="39" t="s">
        <v>0</v>
      </c>
      <c r="D290" s="39" t="s">
        <v>0</v>
      </c>
      <c r="E290" s="39" t="s">
        <v>0</v>
      </c>
      <c r="F290" s="39" t="s">
        <v>0</v>
      </c>
      <c r="G290" s="39" t="s">
        <v>0</v>
      </c>
      <c r="H290" s="39" t="s">
        <v>0</v>
      </c>
      <c r="I290" s="39" t="s">
        <v>0</v>
      </c>
      <c r="J290" s="39" t="s">
        <v>0</v>
      </c>
      <c r="K290" s="39" t="s">
        <v>0</v>
      </c>
      <c r="L290" s="39" t="s">
        <v>0</v>
      </c>
      <c r="M290" s="61">
        <f>M291</f>
        <v>67000000</v>
      </c>
      <c r="N290" s="61">
        <f t="shared" ref="N290:O290" si="116">N291</f>
        <v>67000000</v>
      </c>
      <c r="O290" s="61">
        <f t="shared" si="116"/>
        <v>67000000</v>
      </c>
      <c r="P290" s="62">
        <f t="shared" si="108"/>
        <v>1</v>
      </c>
    </row>
    <row r="291" spans="1:16" ht="37.5" customHeight="1" x14ac:dyDescent="0.25">
      <c r="A291" s="4" t="s">
        <v>211</v>
      </c>
      <c r="B291" s="5" t="s">
        <v>149</v>
      </c>
      <c r="C291" s="5" t="s">
        <v>30</v>
      </c>
      <c r="D291" s="5" t="s">
        <v>61</v>
      </c>
      <c r="E291" s="5" t="s">
        <v>32</v>
      </c>
      <c r="F291" s="5" t="s">
        <v>23</v>
      </c>
      <c r="G291" s="5" t="s">
        <v>71</v>
      </c>
      <c r="H291" s="5" t="s">
        <v>290</v>
      </c>
      <c r="I291" s="5" t="s">
        <v>259</v>
      </c>
      <c r="J291" s="6" t="s">
        <v>148</v>
      </c>
      <c r="K291" s="6" t="s">
        <v>212</v>
      </c>
      <c r="L291" s="6" t="s">
        <v>41</v>
      </c>
      <c r="M291" s="63">
        <v>67000000</v>
      </c>
      <c r="N291" s="63">
        <v>67000000</v>
      </c>
      <c r="O291" s="63">
        <v>67000000</v>
      </c>
      <c r="P291" s="64">
        <f t="shared" si="108"/>
        <v>1</v>
      </c>
    </row>
    <row r="292" spans="1:16" s="35" customFormat="1" ht="15" customHeight="1" x14ac:dyDescent="0.25">
      <c r="A292" s="37" t="s">
        <v>360</v>
      </c>
      <c r="B292" s="39" t="s">
        <v>0</v>
      </c>
      <c r="C292" s="39" t="s">
        <v>0</v>
      </c>
      <c r="D292" s="39" t="s">
        <v>0</v>
      </c>
      <c r="E292" s="39" t="s">
        <v>0</v>
      </c>
      <c r="F292" s="39" t="s">
        <v>0</v>
      </c>
      <c r="G292" s="39" t="s">
        <v>0</v>
      </c>
      <c r="H292" s="39" t="s">
        <v>0</v>
      </c>
      <c r="I292" s="39" t="s">
        <v>0</v>
      </c>
      <c r="J292" s="39" t="s">
        <v>0</v>
      </c>
      <c r="K292" s="39" t="s">
        <v>0</v>
      </c>
      <c r="L292" s="39" t="s">
        <v>0</v>
      </c>
      <c r="M292" s="61">
        <f>M293</f>
        <v>40505697.359999999</v>
      </c>
      <c r="N292" s="61">
        <f t="shared" ref="N292:O292" si="117">N293</f>
        <v>30697074.280000001</v>
      </c>
      <c r="O292" s="61">
        <f t="shared" si="117"/>
        <v>30697074.280000001</v>
      </c>
      <c r="P292" s="62">
        <f t="shared" si="108"/>
        <v>0.75784584097332031</v>
      </c>
    </row>
    <row r="293" spans="1:16" ht="38.25" customHeight="1" x14ac:dyDescent="0.25">
      <c r="A293" s="4" t="s">
        <v>443</v>
      </c>
      <c r="B293" s="5" t="s">
        <v>149</v>
      </c>
      <c r="C293" s="5" t="s">
        <v>30</v>
      </c>
      <c r="D293" s="5" t="s">
        <v>61</v>
      </c>
      <c r="E293" s="5" t="s">
        <v>32</v>
      </c>
      <c r="F293" s="5" t="s">
        <v>23</v>
      </c>
      <c r="G293" s="5" t="s">
        <v>71</v>
      </c>
      <c r="H293" s="5" t="s">
        <v>290</v>
      </c>
      <c r="I293" s="5" t="s">
        <v>259</v>
      </c>
      <c r="J293" s="6" t="s">
        <v>148</v>
      </c>
      <c r="K293" s="6" t="s">
        <v>212</v>
      </c>
      <c r="L293" s="6" t="s">
        <v>53</v>
      </c>
      <c r="M293" s="63">
        <v>40505697.359999999</v>
      </c>
      <c r="N293" s="63">
        <v>30697074.280000001</v>
      </c>
      <c r="O293" s="63">
        <v>30697074.280000001</v>
      </c>
      <c r="P293" s="64">
        <f t="shared" si="108"/>
        <v>0.75784584097332031</v>
      </c>
    </row>
    <row r="294" spans="1:16" s="35" customFormat="1" ht="55.5" customHeight="1" x14ac:dyDescent="0.25">
      <c r="A294" s="37" t="s">
        <v>310</v>
      </c>
      <c r="B294" s="39" t="s">
        <v>0</v>
      </c>
      <c r="C294" s="39" t="s">
        <v>0</v>
      </c>
      <c r="D294" s="39" t="s">
        <v>0</v>
      </c>
      <c r="E294" s="39" t="s">
        <v>0</v>
      </c>
      <c r="F294" s="39" t="s">
        <v>0</v>
      </c>
      <c r="G294" s="39" t="s">
        <v>0</v>
      </c>
      <c r="H294" s="39" t="s">
        <v>0</v>
      </c>
      <c r="I294" s="39" t="s">
        <v>0</v>
      </c>
      <c r="J294" s="39" t="s">
        <v>0</v>
      </c>
      <c r="K294" s="39" t="s">
        <v>0</v>
      </c>
      <c r="L294" s="39" t="s">
        <v>0</v>
      </c>
      <c r="M294" s="61">
        <f>M295</f>
        <v>27018179.810000002</v>
      </c>
      <c r="N294" s="61">
        <f t="shared" ref="N294:O294" si="118">N295</f>
        <v>8704213.7200000007</v>
      </c>
      <c r="O294" s="61">
        <f t="shared" si="118"/>
        <v>8704213.7200000007</v>
      </c>
      <c r="P294" s="62">
        <f t="shared" si="108"/>
        <v>0.32216136620640839</v>
      </c>
    </row>
    <row r="295" spans="1:16" ht="88.5" customHeight="1" x14ac:dyDescent="0.25">
      <c r="A295" s="4" t="s">
        <v>444</v>
      </c>
      <c r="B295" s="5" t="s">
        <v>149</v>
      </c>
      <c r="C295" s="5" t="s">
        <v>30</v>
      </c>
      <c r="D295" s="5" t="s">
        <v>61</v>
      </c>
      <c r="E295" s="5" t="s">
        <v>32</v>
      </c>
      <c r="F295" s="5" t="s">
        <v>23</v>
      </c>
      <c r="G295" s="5" t="s">
        <v>71</v>
      </c>
      <c r="H295" s="5" t="s">
        <v>290</v>
      </c>
      <c r="I295" s="5" t="s">
        <v>259</v>
      </c>
      <c r="J295" s="6" t="s">
        <v>73</v>
      </c>
      <c r="K295" s="6" t="s">
        <v>445</v>
      </c>
      <c r="L295" s="6" t="s">
        <v>53</v>
      </c>
      <c r="M295" s="63">
        <f>37318179.81+5700000-16000000</f>
        <v>27018179.810000002</v>
      </c>
      <c r="N295" s="63">
        <v>8704213.7200000007</v>
      </c>
      <c r="O295" s="63">
        <v>8704213.7200000007</v>
      </c>
      <c r="P295" s="64">
        <f t="shared" si="108"/>
        <v>0.32216136620640839</v>
      </c>
    </row>
    <row r="296" spans="1:16" s="35" customFormat="1" ht="15" customHeight="1" x14ac:dyDescent="0.25">
      <c r="A296" s="37" t="s">
        <v>304</v>
      </c>
      <c r="B296" s="39" t="s">
        <v>0</v>
      </c>
      <c r="C296" s="39" t="s">
        <v>0</v>
      </c>
      <c r="D296" s="39" t="s">
        <v>0</v>
      </c>
      <c r="E296" s="39" t="s">
        <v>0</v>
      </c>
      <c r="F296" s="39" t="s">
        <v>0</v>
      </c>
      <c r="G296" s="39" t="s">
        <v>0</v>
      </c>
      <c r="H296" s="39" t="s">
        <v>0</v>
      </c>
      <c r="I296" s="39" t="s">
        <v>0</v>
      </c>
      <c r="J296" s="39" t="s">
        <v>0</v>
      </c>
      <c r="K296" s="39" t="s">
        <v>0</v>
      </c>
      <c r="L296" s="39" t="s">
        <v>0</v>
      </c>
      <c r="M296" s="61">
        <f>M297</f>
        <v>5000000</v>
      </c>
      <c r="N296" s="61">
        <f t="shared" ref="N296:O296" si="119">N297</f>
        <v>0</v>
      </c>
      <c r="O296" s="61">
        <f t="shared" si="119"/>
        <v>0</v>
      </c>
      <c r="P296" s="62">
        <f t="shared" si="108"/>
        <v>0</v>
      </c>
    </row>
    <row r="297" spans="1:16" ht="32.25" customHeight="1" x14ac:dyDescent="0.25">
      <c r="A297" s="4" t="s">
        <v>216</v>
      </c>
      <c r="B297" s="5" t="s">
        <v>149</v>
      </c>
      <c r="C297" s="5" t="s">
        <v>30</v>
      </c>
      <c r="D297" s="5" t="s">
        <v>61</v>
      </c>
      <c r="E297" s="5" t="s">
        <v>32</v>
      </c>
      <c r="F297" s="5" t="s">
        <v>23</v>
      </c>
      <c r="G297" s="5" t="s">
        <v>71</v>
      </c>
      <c r="H297" s="5" t="s">
        <v>290</v>
      </c>
      <c r="I297" s="5" t="s">
        <v>259</v>
      </c>
      <c r="J297" s="6" t="s">
        <v>148</v>
      </c>
      <c r="K297" s="6" t="s">
        <v>212</v>
      </c>
      <c r="L297" s="6" t="s">
        <v>41</v>
      </c>
      <c r="M297" s="63">
        <v>5000000</v>
      </c>
      <c r="N297" s="63">
        <v>0</v>
      </c>
      <c r="O297" s="63">
        <v>0</v>
      </c>
      <c r="P297" s="64">
        <f t="shared" si="108"/>
        <v>0</v>
      </c>
    </row>
    <row r="298" spans="1:16" s="35" customFormat="1" ht="15" customHeight="1" x14ac:dyDescent="0.25">
      <c r="A298" s="36" t="s">
        <v>220</v>
      </c>
      <c r="B298" s="32" t="s">
        <v>149</v>
      </c>
      <c r="C298" s="32" t="s">
        <v>30</v>
      </c>
      <c r="D298" s="32" t="s">
        <v>61</v>
      </c>
      <c r="E298" s="32" t="s">
        <v>32</v>
      </c>
      <c r="F298" s="32" t="s">
        <v>23</v>
      </c>
      <c r="G298" s="32" t="s">
        <v>28</v>
      </c>
      <c r="H298" s="32" t="s">
        <v>0</v>
      </c>
      <c r="I298" s="32" t="s">
        <v>0</v>
      </c>
      <c r="J298" s="32" t="s">
        <v>0</v>
      </c>
      <c r="K298" s="32" t="s">
        <v>0</v>
      </c>
      <c r="L298" s="32" t="s">
        <v>0</v>
      </c>
      <c r="M298" s="61">
        <f>M299</f>
        <v>85000000</v>
      </c>
      <c r="N298" s="61">
        <f t="shared" ref="N298:O299" si="120">N299</f>
        <v>15824359.310000002</v>
      </c>
      <c r="O298" s="61">
        <f t="shared" si="120"/>
        <v>15824359.310000002</v>
      </c>
      <c r="P298" s="62">
        <f t="shared" si="108"/>
        <v>0.18616893305882357</v>
      </c>
    </row>
    <row r="299" spans="1:16" s="35" customFormat="1" ht="58.5" customHeight="1" x14ac:dyDescent="0.25">
      <c r="A299" s="37" t="s">
        <v>289</v>
      </c>
      <c r="B299" s="32" t="s">
        <v>149</v>
      </c>
      <c r="C299" s="32" t="s">
        <v>30</v>
      </c>
      <c r="D299" s="32" t="s">
        <v>61</v>
      </c>
      <c r="E299" s="32" t="s">
        <v>32</v>
      </c>
      <c r="F299" s="32" t="s">
        <v>23</v>
      </c>
      <c r="G299" s="32" t="s">
        <v>28</v>
      </c>
      <c r="H299" s="32" t="s">
        <v>290</v>
      </c>
      <c r="I299" s="38" t="s">
        <v>0</v>
      </c>
      <c r="J299" s="38" t="s">
        <v>0</v>
      </c>
      <c r="K299" s="38" t="s">
        <v>0</v>
      </c>
      <c r="L299" s="38" t="s">
        <v>0</v>
      </c>
      <c r="M299" s="61">
        <f>M300</f>
        <v>85000000</v>
      </c>
      <c r="N299" s="61">
        <f t="shared" si="120"/>
        <v>15824359.310000002</v>
      </c>
      <c r="O299" s="61">
        <f t="shared" si="120"/>
        <v>15824359.310000002</v>
      </c>
      <c r="P299" s="62">
        <f t="shared" si="108"/>
        <v>0.18616893305882357</v>
      </c>
    </row>
    <row r="300" spans="1:16" s="35" customFormat="1" ht="73.5" customHeight="1" x14ac:dyDescent="0.25">
      <c r="A300" s="37" t="s">
        <v>258</v>
      </c>
      <c r="B300" s="32" t="s">
        <v>149</v>
      </c>
      <c r="C300" s="32" t="s">
        <v>30</v>
      </c>
      <c r="D300" s="32" t="s">
        <v>61</v>
      </c>
      <c r="E300" s="32" t="s">
        <v>32</v>
      </c>
      <c r="F300" s="32" t="s">
        <v>23</v>
      </c>
      <c r="G300" s="32" t="s">
        <v>28</v>
      </c>
      <c r="H300" s="32" t="s">
        <v>290</v>
      </c>
      <c r="I300" s="32" t="s">
        <v>259</v>
      </c>
      <c r="J300" s="32" t="s">
        <v>0</v>
      </c>
      <c r="K300" s="32" t="s">
        <v>0</v>
      </c>
      <c r="L300" s="32" t="s">
        <v>0</v>
      </c>
      <c r="M300" s="61">
        <f>M301+M303+M305+M307+M309</f>
        <v>85000000</v>
      </c>
      <c r="N300" s="61">
        <f t="shared" ref="N300:O300" si="121">N301+N303+N305+N307+N309</f>
        <v>15824359.310000002</v>
      </c>
      <c r="O300" s="61">
        <f t="shared" si="121"/>
        <v>15824359.310000002</v>
      </c>
      <c r="P300" s="62">
        <f t="shared" si="108"/>
        <v>0.18616893305882357</v>
      </c>
    </row>
    <row r="301" spans="1:16" s="35" customFormat="1" ht="51.75" customHeight="1" x14ac:dyDescent="0.25">
      <c r="A301" s="37" t="s">
        <v>455</v>
      </c>
      <c r="B301" s="32"/>
      <c r="C301" s="32"/>
      <c r="D301" s="32"/>
      <c r="E301" s="32"/>
      <c r="F301" s="32"/>
      <c r="G301" s="32"/>
      <c r="H301" s="32"/>
      <c r="I301" s="32"/>
      <c r="J301" s="84"/>
      <c r="K301" s="84"/>
      <c r="L301" s="84"/>
      <c r="M301" s="61">
        <f>M302</f>
        <v>15000000</v>
      </c>
      <c r="N301" s="61">
        <f t="shared" ref="N301:O301" si="122">N302</f>
        <v>3258152.2</v>
      </c>
      <c r="O301" s="61">
        <f t="shared" si="122"/>
        <v>3258152.2</v>
      </c>
      <c r="P301" s="62">
        <f t="shared" si="108"/>
        <v>0.21721014666666669</v>
      </c>
    </row>
    <row r="302" spans="1:16" ht="32.25" customHeight="1" x14ac:dyDescent="0.25">
      <c r="A302" s="4" t="s">
        <v>527</v>
      </c>
      <c r="B302" s="5" t="s">
        <v>149</v>
      </c>
      <c r="C302" s="5" t="s">
        <v>30</v>
      </c>
      <c r="D302" s="5" t="s">
        <v>61</v>
      </c>
      <c r="E302" s="5" t="s">
        <v>32</v>
      </c>
      <c r="F302" s="5" t="s">
        <v>23</v>
      </c>
      <c r="G302" s="5" t="s">
        <v>28</v>
      </c>
      <c r="H302" s="5" t="s">
        <v>290</v>
      </c>
      <c r="I302" s="5" t="s">
        <v>259</v>
      </c>
      <c r="J302" s="6" t="s">
        <v>148</v>
      </c>
      <c r="K302" s="6" t="s">
        <v>74</v>
      </c>
      <c r="L302" s="6" t="s">
        <v>41</v>
      </c>
      <c r="M302" s="63">
        <v>15000000</v>
      </c>
      <c r="N302" s="63">
        <v>3258152.2</v>
      </c>
      <c r="O302" s="63">
        <v>3258152.2</v>
      </c>
      <c r="P302" s="64">
        <f t="shared" si="108"/>
        <v>0.21721014666666669</v>
      </c>
    </row>
    <row r="303" spans="1:16" s="35" customFormat="1" ht="15" customHeight="1" x14ac:dyDescent="0.25">
      <c r="A303" s="37" t="s">
        <v>454</v>
      </c>
      <c r="B303" s="32"/>
      <c r="C303" s="32"/>
      <c r="D303" s="32"/>
      <c r="E303" s="32"/>
      <c r="F303" s="32"/>
      <c r="G303" s="32"/>
      <c r="H303" s="32"/>
      <c r="I303" s="32"/>
      <c r="J303" s="84"/>
      <c r="K303" s="84"/>
      <c r="L303" s="84"/>
      <c r="M303" s="61">
        <f>M304</f>
        <v>5000000</v>
      </c>
      <c r="N303" s="61">
        <f t="shared" ref="N303:O303" si="123">N304</f>
        <v>2488891.7599999998</v>
      </c>
      <c r="O303" s="61">
        <f t="shared" si="123"/>
        <v>2488891.7599999998</v>
      </c>
      <c r="P303" s="62">
        <f t="shared" si="108"/>
        <v>0.49777835199999998</v>
      </c>
    </row>
    <row r="304" spans="1:16" ht="32.25" customHeight="1" x14ac:dyDescent="0.25">
      <c r="A304" s="4" t="s">
        <v>528</v>
      </c>
      <c r="B304" s="5" t="s">
        <v>149</v>
      </c>
      <c r="C304" s="5" t="s">
        <v>30</v>
      </c>
      <c r="D304" s="5" t="s">
        <v>61</v>
      </c>
      <c r="E304" s="5" t="s">
        <v>32</v>
      </c>
      <c r="F304" s="5" t="s">
        <v>23</v>
      </c>
      <c r="G304" s="5" t="s">
        <v>28</v>
      </c>
      <c r="H304" s="5" t="s">
        <v>290</v>
      </c>
      <c r="I304" s="5" t="s">
        <v>259</v>
      </c>
      <c r="J304" s="6" t="s">
        <v>148</v>
      </c>
      <c r="K304" s="6" t="s">
        <v>74</v>
      </c>
      <c r="L304" s="6" t="s">
        <v>41</v>
      </c>
      <c r="M304" s="63">
        <v>5000000</v>
      </c>
      <c r="N304" s="63">
        <v>2488891.7599999998</v>
      </c>
      <c r="O304" s="63">
        <v>2488891.7599999998</v>
      </c>
      <c r="P304" s="64">
        <f t="shared" si="108"/>
        <v>0.49777835199999998</v>
      </c>
    </row>
    <row r="305" spans="1:16" s="35" customFormat="1" ht="15" customHeight="1" x14ac:dyDescent="0.25">
      <c r="A305" s="37" t="s">
        <v>526</v>
      </c>
      <c r="B305" s="32"/>
      <c r="C305" s="32"/>
      <c r="D305" s="32"/>
      <c r="E305" s="32"/>
      <c r="F305" s="32"/>
      <c r="G305" s="32"/>
      <c r="H305" s="32"/>
      <c r="I305" s="32"/>
      <c r="J305" s="84"/>
      <c r="K305" s="84"/>
      <c r="L305" s="84"/>
      <c r="M305" s="61">
        <f>M306</f>
        <v>15000000</v>
      </c>
      <c r="N305" s="61">
        <f t="shared" ref="N305:O305" si="124">N306</f>
        <v>2990918.03</v>
      </c>
      <c r="O305" s="61">
        <f t="shared" si="124"/>
        <v>2990918.03</v>
      </c>
      <c r="P305" s="62">
        <f t="shared" si="108"/>
        <v>0.19939453533333332</v>
      </c>
    </row>
    <row r="306" spans="1:16" ht="32.25" customHeight="1" x14ac:dyDescent="0.25">
      <c r="A306" s="4" t="s">
        <v>456</v>
      </c>
      <c r="B306" s="5" t="s">
        <v>149</v>
      </c>
      <c r="C306" s="5" t="s">
        <v>30</v>
      </c>
      <c r="D306" s="5" t="s">
        <v>61</v>
      </c>
      <c r="E306" s="5" t="s">
        <v>32</v>
      </c>
      <c r="F306" s="5" t="s">
        <v>23</v>
      </c>
      <c r="G306" s="5" t="s">
        <v>28</v>
      </c>
      <c r="H306" s="5" t="s">
        <v>290</v>
      </c>
      <c r="I306" s="5" t="s">
        <v>259</v>
      </c>
      <c r="J306" s="6" t="s">
        <v>148</v>
      </c>
      <c r="K306" s="6" t="s">
        <v>74</v>
      </c>
      <c r="L306" s="6" t="s">
        <v>41</v>
      </c>
      <c r="M306" s="63">
        <v>15000000</v>
      </c>
      <c r="N306" s="63">
        <v>2990918.03</v>
      </c>
      <c r="O306" s="63">
        <v>2990918.03</v>
      </c>
      <c r="P306" s="64">
        <f t="shared" si="108"/>
        <v>0.19939453533333332</v>
      </c>
    </row>
    <row r="307" spans="1:16" s="35" customFormat="1" ht="15" customHeight="1" x14ac:dyDescent="0.25">
      <c r="A307" s="37" t="s">
        <v>529</v>
      </c>
      <c r="B307" s="32"/>
      <c r="C307" s="32"/>
      <c r="D307" s="32"/>
      <c r="E307" s="32"/>
      <c r="F307" s="32"/>
      <c r="G307" s="32"/>
      <c r="H307" s="32"/>
      <c r="I307" s="32"/>
      <c r="J307" s="84"/>
      <c r="K307" s="84"/>
      <c r="L307" s="84"/>
      <c r="M307" s="61">
        <f>M308</f>
        <v>45000000</v>
      </c>
      <c r="N307" s="61">
        <f t="shared" ref="N307:O307" si="125">N308</f>
        <v>2294627.7000000002</v>
      </c>
      <c r="O307" s="61">
        <f t="shared" si="125"/>
        <v>2294627.7000000002</v>
      </c>
      <c r="P307" s="62">
        <f t="shared" si="108"/>
        <v>5.0991726666666667E-2</v>
      </c>
    </row>
    <row r="308" spans="1:16" ht="32.25" customHeight="1" x14ac:dyDescent="0.25">
      <c r="A308" s="4" t="s">
        <v>524</v>
      </c>
      <c r="B308" s="5" t="s">
        <v>149</v>
      </c>
      <c r="C308" s="5" t="s">
        <v>30</v>
      </c>
      <c r="D308" s="5" t="s">
        <v>61</v>
      </c>
      <c r="E308" s="5" t="s">
        <v>32</v>
      </c>
      <c r="F308" s="5" t="s">
        <v>23</v>
      </c>
      <c r="G308" s="5" t="s">
        <v>28</v>
      </c>
      <c r="H308" s="5" t="s">
        <v>290</v>
      </c>
      <c r="I308" s="5" t="s">
        <v>259</v>
      </c>
      <c r="J308" s="6" t="s">
        <v>148</v>
      </c>
      <c r="K308" s="6" t="s">
        <v>74</v>
      </c>
      <c r="L308" s="6" t="s">
        <v>41</v>
      </c>
      <c r="M308" s="63">
        <v>45000000</v>
      </c>
      <c r="N308" s="63">
        <v>2294627.7000000002</v>
      </c>
      <c r="O308" s="63">
        <v>2294627.7000000002</v>
      </c>
      <c r="P308" s="64">
        <f t="shared" si="108"/>
        <v>5.0991726666666667E-2</v>
      </c>
    </row>
    <row r="309" spans="1:16" s="35" customFormat="1" ht="15" customHeight="1" x14ac:dyDescent="0.25">
      <c r="A309" s="37" t="s">
        <v>303</v>
      </c>
      <c r="B309" s="32"/>
      <c r="C309" s="32"/>
      <c r="D309" s="32"/>
      <c r="E309" s="32"/>
      <c r="F309" s="32"/>
      <c r="G309" s="32"/>
      <c r="H309" s="32"/>
      <c r="I309" s="32"/>
      <c r="J309" s="84"/>
      <c r="K309" s="84"/>
      <c r="L309" s="84"/>
      <c r="M309" s="61">
        <f>M310</f>
        <v>5000000</v>
      </c>
      <c r="N309" s="61">
        <f t="shared" ref="N309:O309" si="126">N310</f>
        <v>4791769.62</v>
      </c>
      <c r="O309" s="61">
        <f t="shared" si="126"/>
        <v>4791769.62</v>
      </c>
      <c r="P309" s="62">
        <f t="shared" si="108"/>
        <v>0.95835392399999997</v>
      </c>
    </row>
    <row r="310" spans="1:16" ht="32.25" customHeight="1" x14ac:dyDescent="0.25">
      <c r="A310" s="4" t="s">
        <v>525</v>
      </c>
      <c r="B310" s="5" t="s">
        <v>149</v>
      </c>
      <c r="C310" s="5" t="s">
        <v>30</v>
      </c>
      <c r="D310" s="5" t="s">
        <v>61</v>
      </c>
      <c r="E310" s="5" t="s">
        <v>32</v>
      </c>
      <c r="F310" s="5" t="s">
        <v>23</v>
      </c>
      <c r="G310" s="5" t="s">
        <v>28</v>
      </c>
      <c r="H310" s="5" t="s">
        <v>290</v>
      </c>
      <c r="I310" s="5" t="s">
        <v>259</v>
      </c>
      <c r="J310" s="6" t="s">
        <v>148</v>
      </c>
      <c r="K310" s="6" t="s">
        <v>74</v>
      </c>
      <c r="L310" s="6" t="s">
        <v>41</v>
      </c>
      <c r="M310" s="63">
        <v>5000000</v>
      </c>
      <c r="N310" s="73">
        <v>4791769.62</v>
      </c>
      <c r="O310" s="73">
        <v>4791769.62</v>
      </c>
      <c r="P310" s="64">
        <f t="shared" si="108"/>
        <v>0.95835392399999997</v>
      </c>
    </row>
    <row r="311" spans="1:16" s="35" customFormat="1" ht="74.25" customHeight="1" x14ac:dyDescent="0.25">
      <c r="A311" s="37" t="s">
        <v>446</v>
      </c>
      <c r="B311" s="32" t="s">
        <v>447</v>
      </c>
      <c r="C311" s="32" t="s">
        <v>0</v>
      </c>
      <c r="D311" s="32" t="s">
        <v>0</v>
      </c>
      <c r="E311" s="32" t="s">
        <v>0</v>
      </c>
      <c r="F311" s="32" t="s">
        <v>0</v>
      </c>
      <c r="G311" s="32" t="s">
        <v>0</v>
      </c>
      <c r="H311" s="38" t="s">
        <v>0</v>
      </c>
      <c r="I311" s="38" t="s">
        <v>0</v>
      </c>
      <c r="J311" s="38" t="s">
        <v>0</v>
      </c>
      <c r="K311" s="38" t="s">
        <v>0</v>
      </c>
      <c r="L311" s="38" t="s">
        <v>0</v>
      </c>
      <c r="M311" s="61">
        <f t="shared" ref="M311:O319" si="127">M312</f>
        <v>105775797.31</v>
      </c>
      <c r="N311" s="61">
        <f t="shared" si="127"/>
        <v>105775797.31</v>
      </c>
      <c r="O311" s="61">
        <f t="shared" si="127"/>
        <v>105775797.31</v>
      </c>
      <c r="P311" s="62">
        <f t="shared" si="108"/>
        <v>1</v>
      </c>
    </row>
    <row r="312" spans="1:16" s="35" customFormat="1" ht="39" customHeight="1" x14ac:dyDescent="0.25">
      <c r="A312" s="37" t="s">
        <v>448</v>
      </c>
      <c r="B312" s="32" t="s">
        <v>447</v>
      </c>
      <c r="C312" s="32" t="s">
        <v>13</v>
      </c>
      <c r="D312" s="32" t="s">
        <v>0</v>
      </c>
      <c r="E312" s="32" t="s">
        <v>0</v>
      </c>
      <c r="F312" s="32" t="s">
        <v>0</v>
      </c>
      <c r="G312" s="32" t="s">
        <v>0</v>
      </c>
      <c r="H312" s="38" t="s">
        <v>0</v>
      </c>
      <c r="I312" s="38" t="s">
        <v>0</v>
      </c>
      <c r="J312" s="38" t="s">
        <v>0</v>
      </c>
      <c r="K312" s="38" t="s">
        <v>0</v>
      </c>
      <c r="L312" s="38" t="s">
        <v>0</v>
      </c>
      <c r="M312" s="61">
        <f t="shared" si="127"/>
        <v>105775797.31</v>
      </c>
      <c r="N312" s="61">
        <f t="shared" si="127"/>
        <v>105775797.31</v>
      </c>
      <c r="O312" s="61">
        <f t="shared" si="127"/>
        <v>105775797.31</v>
      </c>
      <c r="P312" s="62">
        <f t="shared" si="108"/>
        <v>1</v>
      </c>
    </row>
    <row r="313" spans="1:16" s="35" customFormat="1" ht="96.6" customHeight="1" x14ac:dyDescent="0.25">
      <c r="A313" s="37" t="s">
        <v>449</v>
      </c>
      <c r="B313" s="32" t="s">
        <v>447</v>
      </c>
      <c r="C313" s="32" t="s">
        <v>13</v>
      </c>
      <c r="D313" s="32" t="s">
        <v>23</v>
      </c>
      <c r="E313" s="32" t="s">
        <v>0</v>
      </c>
      <c r="F313" s="32" t="s">
        <v>0</v>
      </c>
      <c r="G313" s="32" t="s">
        <v>0</v>
      </c>
      <c r="H313" s="38" t="s">
        <v>0</v>
      </c>
      <c r="I313" s="38" t="s">
        <v>0</v>
      </c>
      <c r="J313" s="38" t="s">
        <v>0</v>
      </c>
      <c r="K313" s="38" t="s">
        <v>0</v>
      </c>
      <c r="L313" s="38" t="s">
        <v>0</v>
      </c>
      <c r="M313" s="61">
        <f t="shared" si="127"/>
        <v>105775797.31</v>
      </c>
      <c r="N313" s="61">
        <f t="shared" si="127"/>
        <v>105775797.31</v>
      </c>
      <c r="O313" s="61">
        <f t="shared" si="127"/>
        <v>105775797.31</v>
      </c>
      <c r="P313" s="62">
        <f t="shared" si="108"/>
        <v>1</v>
      </c>
    </row>
    <row r="314" spans="1:16" s="35" customFormat="1" ht="32.25" customHeight="1" x14ac:dyDescent="0.25">
      <c r="A314" s="37" t="s">
        <v>31</v>
      </c>
      <c r="B314" s="32" t="s">
        <v>447</v>
      </c>
      <c r="C314" s="32" t="s">
        <v>13</v>
      </c>
      <c r="D314" s="32" t="s">
        <v>23</v>
      </c>
      <c r="E314" s="32" t="s">
        <v>32</v>
      </c>
      <c r="F314" s="32" t="s">
        <v>0</v>
      </c>
      <c r="G314" s="32" t="s">
        <v>0</v>
      </c>
      <c r="H314" s="38" t="s">
        <v>0</v>
      </c>
      <c r="I314" s="38" t="s">
        <v>0</v>
      </c>
      <c r="J314" s="38" t="s">
        <v>0</v>
      </c>
      <c r="K314" s="38" t="s">
        <v>0</v>
      </c>
      <c r="L314" s="38" t="s">
        <v>0</v>
      </c>
      <c r="M314" s="61">
        <f t="shared" si="127"/>
        <v>105775797.31</v>
      </c>
      <c r="N314" s="61">
        <f t="shared" si="127"/>
        <v>105775797.31</v>
      </c>
      <c r="O314" s="61">
        <f t="shared" si="127"/>
        <v>105775797.31</v>
      </c>
      <c r="P314" s="62">
        <f t="shared" si="108"/>
        <v>1</v>
      </c>
    </row>
    <row r="315" spans="1:16" s="35" customFormat="1" ht="15" customHeight="1" x14ac:dyDescent="0.25">
      <c r="A315" s="36" t="s">
        <v>156</v>
      </c>
      <c r="B315" s="32" t="s">
        <v>447</v>
      </c>
      <c r="C315" s="32" t="s">
        <v>13</v>
      </c>
      <c r="D315" s="32" t="s">
        <v>23</v>
      </c>
      <c r="E315" s="32" t="s">
        <v>32</v>
      </c>
      <c r="F315" s="32" t="s">
        <v>106</v>
      </c>
      <c r="G315" s="32" t="s">
        <v>0</v>
      </c>
      <c r="H315" s="32" t="s">
        <v>0</v>
      </c>
      <c r="I315" s="32" t="s">
        <v>0</v>
      </c>
      <c r="J315" s="32" t="s">
        <v>0</v>
      </c>
      <c r="K315" s="32" t="s">
        <v>0</v>
      </c>
      <c r="L315" s="32" t="s">
        <v>0</v>
      </c>
      <c r="M315" s="61">
        <f t="shared" si="127"/>
        <v>105775797.31</v>
      </c>
      <c r="N315" s="61">
        <f t="shared" si="127"/>
        <v>105775797.31</v>
      </c>
      <c r="O315" s="61">
        <f t="shared" si="127"/>
        <v>105775797.31</v>
      </c>
      <c r="P315" s="62">
        <f t="shared" si="108"/>
        <v>1</v>
      </c>
    </row>
    <row r="316" spans="1:16" s="35" customFormat="1" ht="40.5" customHeight="1" x14ac:dyDescent="0.25">
      <c r="A316" s="36" t="s">
        <v>157</v>
      </c>
      <c r="B316" s="32" t="s">
        <v>447</v>
      </c>
      <c r="C316" s="32" t="s">
        <v>13</v>
      </c>
      <c r="D316" s="32" t="s">
        <v>23</v>
      </c>
      <c r="E316" s="32" t="s">
        <v>32</v>
      </c>
      <c r="F316" s="32" t="s">
        <v>106</v>
      </c>
      <c r="G316" s="32" t="s">
        <v>65</v>
      </c>
      <c r="H316" s="32" t="s">
        <v>0</v>
      </c>
      <c r="I316" s="32" t="s">
        <v>0</v>
      </c>
      <c r="J316" s="32" t="s">
        <v>0</v>
      </c>
      <c r="K316" s="32" t="s">
        <v>0</v>
      </c>
      <c r="L316" s="32" t="s">
        <v>0</v>
      </c>
      <c r="M316" s="61">
        <f t="shared" si="127"/>
        <v>105775797.31</v>
      </c>
      <c r="N316" s="61">
        <f t="shared" si="127"/>
        <v>105775797.31</v>
      </c>
      <c r="O316" s="61">
        <f t="shared" si="127"/>
        <v>105775797.31</v>
      </c>
      <c r="P316" s="62">
        <f t="shared" si="108"/>
        <v>1</v>
      </c>
    </row>
    <row r="317" spans="1:16" s="35" customFormat="1" ht="59.25" customHeight="1" x14ac:dyDescent="0.25">
      <c r="A317" s="37" t="s">
        <v>450</v>
      </c>
      <c r="B317" s="32" t="s">
        <v>447</v>
      </c>
      <c r="C317" s="32" t="s">
        <v>13</v>
      </c>
      <c r="D317" s="32" t="s">
        <v>23</v>
      </c>
      <c r="E317" s="32" t="s">
        <v>32</v>
      </c>
      <c r="F317" s="32" t="s">
        <v>106</v>
      </c>
      <c r="G317" s="32" t="s">
        <v>65</v>
      </c>
      <c r="H317" s="32" t="s">
        <v>451</v>
      </c>
      <c r="I317" s="38" t="s">
        <v>0</v>
      </c>
      <c r="J317" s="38" t="s">
        <v>0</v>
      </c>
      <c r="K317" s="38" t="s">
        <v>0</v>
      </c>
      <c r="L317" s="38" t="s">
        <v>0</v>
      </c>
      <c r="M317" s="61">
        <f t="shared" si="127"/>
        <v>105775797.31</v>
      </c>
      <c r="N317" s="61">
        <f t="shared" si="127"/>
        <v>105775797.31</v>
      </c>
      <c r="O317" s="61">
        <f t="shared" si="127"/>
        <v>105775797.31</v>
      </c>
      <c r="P317" s="62">
        <f t="shared" si="108"/>
        <v>1</v>
      </c>
    </row>
    <row r="318" spans="1:16" s="35" customFormat="1" ht="71.25" customHeight="1" x14ac:dyDescent="0.25">
      <c r="A318" s="37" t="s">
        <v>258</v>
      </c>
      <c r="B318" s="32" t="s">
        <v>447</v>
      </c>
      <c r="C318" s="32" t="s">
        <v>13</v>
      </c>
      <c r="D318" s="32" t="s">
        <v>23</v>
      </c>
      <c r="E318" s="32" t="s">
        <v>32</v>
      </c>
      <c r="F318" s="32" t="s">
        <v>106</v>
      </c>
      <c r="G318" s="32" t="s">
        <v>65</v>
      </c>
      <c r="H318" s="32" t="s">
        <v>451</v>
      </c>
      <c r="I318" s="32" t="s">
        <v>259</v>
      </c>
      <c r="J318" s="32" t="s">
        <v>0</v>
      </c>
      <c r="K318" s="32" t="s">
        <v>0</v>
      </c>
      <c r="L318" s="32" t="s">
        <v>0</v>
      </c>
      <c r="M318" s="61">
        <f t="shared" si="127"/>
        <v>105775797.31</v>
      </c>
      <c r="N318" s="61">
        <f t="shared" si="127"/>
        <v>105775797.31</v>
      </c>
      <c r="O318" s="61">
        <f t="shared" si="127"/>
        <v>105775797.31</v>
      </c>
      <c r="P318" s="62">
        <f t="shared" si="108"/>
        <v>1</v>
      </c>
    </row>
    <row r="319" spans="1:16" s="35" customFormat="1" ht="32.25" customHeight="1" x14ac:dyDescent="0.25">
      <c r="A319" s="37" t="s">
        <v>314</v>
      </c>
      <c r="B319" s="39" t="s">
        <v>0</v>
      </c>
      <c r="C319" s="39" t="s">
        <v>0</v>
      </c>
      <c r="D319" s="39" t="s">
        <v>0</v>
      </c>
      <c r="E319" s="39" t="s">
        <v>0</v>
      </c>
      <c r="F319" s="39" t="s">
        <v>0</v>
      </c>
      <c r="G319" s="39" t="s">
        <v>0</v>
      </c>
      <c r="H319" s="39" t="s">
        <v>0</v>
      </c>
      <c r="I319" s="39" t="s">
        <v>0</v>
      </c>
      <c r="J319" s="39" t="s">
        <v>0</v>
      </c>
      <c r="K319" s="39" t="s">
        <v>0</v>
      </c>
      <c r="L319" s="39" t="s">
        <v>0</v>
      </c>
      <c r="M319" s="61">
        <f t="shared" si="127"/>
        <v>105775797.31</v>
      </c>
      <c r="N319" s="61">
        <f t="shared" si="127"/>
        <v>105775797.31</v>
      </c>
      <c r="O319" s="61">
        <f t="shared" si="127"/>
        <v>105775797.31</v>
      </c>
      <c r="P319" s="62">
        <f t="shared" si="108"/>
        <v>1</v>
      </c>
    </row>
    <row r="320" spans="1:16" ht="159.9" customHeight="1" x14ac:dyDescent="0.25">
      <c r="A320" s="70" t="s">
        <v>457</v>
      </c>
      <c r="B320" s="71" t="s">
        <v>447</v>
      </c>
      <c r="C320" s="71" t="s">
        <v>13</v>
      </c>
      <c r="D320" s="71" t="s">
        <v>23</v>
      </c>
      <c r="E320" s="71" t="s">
        <v>32</v>
      </c>
      <c r="F320" s="71" t="s">
        <v>106</v>
      </c>
      <c r="G320" s="71" t="s">
        <v>65</v>
      </c>
      <c r="H320" s="71" t="s">
        <v>451</v>
      </c>
      <c r="I320" s="71" t="s">
        <v>259</v>
      </c>
      <c r="J320" s="72" t="s">
        <v>161</v>
      </c>
      <c r="K320" s="72" t="s">
        <v>452</v>
      </c>
      <c r="L320" s="72" t="s">
        <v>41</v>
      </c>
      <c r="M320" s="73">
        <f>87265032.78+18510764.53</f>
        <v>105775797.31</v>
      </c>
      <c r="N320" s="73">
        <v>105775797.31</v>
      </c>
      <c r="O320" s="73">
        <v>105775797.31</v>
      </c>
      <c r="P320" s="74">
        <f t="shared" si="108"/>
        <v>1</v>
      </c>
    </row>
    <row r="321" spans="1:16" ht="15.6" x14ac:dyDescent="0.25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</row>
    <row r="322" spans="1:16" ht="24.75" customHeight="1" x14ac:dyDescent="0.25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</row>
    <row r="323" spans="1:16" ht="26.25" customHeight="1" x14ac:dyDescent="0.25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</row>
    <row r="324" spans="1:16" ht="30.6" x14ac:dyDescent="0.25">
      <c r="A324" s="91" t="s">
        <v>588</v>
      </c>
      <c r="B324" s="91"/>
      <c r="C324" s="91"/>
      <c r="D324" s="91"/>
      <c r="E324" s="34"/>
      <c r="F324" s="34"/>
      <c r="G324" s="34"/>
      <c r="H324" s="34"/>
      <c r="I324" s="34"/>
      <c r="J324" s="34"/>
      <c r="K324" s="34"/>
      <c r="L324" s="34"/>
      <c r="M324" s="34"/>
      <c r="N324" s="92" t="s">
        <v>589</v>
      </c>
      <c r="O324" s="92"/>
      <c r="P324" s="92"/>
    </row>
    <row r="325" spans="1:16" ht="205.5" customHeight="1" x14ac:dyDescent="0.25">
      <c r="A325" s="57"/>
      <c r="B325" s="57"/>
      <c r="C325" s="57"/>
      <c r="D325" s="57"/>
      <c r="E325" s="34"/>
      <c r="F325" s="34"/>
      <c r="G325" s="34"/>
      <c r="H325" s="34"/>
      <c r="I325" s="34"/>
      <c r="J325" s="34"/>
      <c r="K325" s="34"/>
      <c r="L325" s="34"/>
      <c r="M325" s="34"/>
      <c r="N325" s="58"/>
      <c r="O325" s="58"/>
      <c r="P325" s="58"/>
    </row>
    <row r="326" spans="1:16" ht="38.25" customHeight="1" x14ac:dyDescent="0.25">
      <c r="A326" s="33" t="s">
        <v>590</v>
      </c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</row>
  </sheetData>
  <mergeCells count="5">
    <mergeCell ref="A324:D324"/>
    <mergeCell ref="N324:P324"/>
    <mergeCell ref="A3:P3"/>
    <mergeCell ref="A2:P2"/>
    <mergeCell ref="O1:P1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66" fitToHeight="80" orientation="landscape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P279"/>
  <sheetViews>
    <sheetView view="pageBreakPreview" zoomScale="90" zoomScaleNormal="100" zoomScaleSheetLayoutView="90" zoomScalePageLayoutView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O6" sqref="O6"/>
    </sheetView>
  </sheetViews>
  <sheetFormatPr defaultColWidth="9.33203125" defaultRowHeight="13.2" x14ac:dyDescent="0.25"/>
  <cols>
    <col min="1" max="1" width="54.77734375" style="1" customWidth="1"/>
    <col min="2" max="2" width="5" style="1" bestFit="1" customWidth="1"/>
    <col min="3" max="3" width="9" style="1" bestFit="1" customWidth="1"/>
    <col min="4" max="4" width="6.109375" style="1" bestFit="1" customWidth="1"/>
    <col min="5" max="5" width="8" style="1" bestFit="1" customWidth="1"/>
    <col min="6" max="6" width="4.109375" style="1" bestFit="1" customWidth="1"/>
    <col min="7" max="7" width="5" style="1" bestFit="1" customWidth="1"/>
    <col min="8" max="8" width="8.109375" style="1" bestFit="1" customWidth="1"/>
    <col min="9" max="9" width="5.44140625" style="1" bestFit="1" customWidth="1"/>
    <col min="10" max="10" width="11" style="1" bestFit="1" customWidth="1"/>
    <col min="11" max="11" width="11.44140625" style="1" bestFit="1" customWidth="1"/>
    <col min="12" max="12" width="12.33203125" style="1" bestFit="1" customWidth="1"/>
    <col min="13" max="13" width="21.44140625" style="1" customWidth="1"/>
    <col min="14" max="15" width="21.6640625" style="1" customWidth="1"/>
    <col min="16" max="16" width="17.6640625" style="1" customWidth="1"/>
    <col min="17" max="16384" width="9.33203125" style="1"/>
  </cols>
  <sheetData>
    <row r="1" spans="1:16" ht="21" x14ac:dyDescent="0.25">
      <c r="O1" s="88" t="s">
        <v>591</v>
      </c>
      <c r="P1" s="88"/>
    </row>
    <row r="2" spans="1:16" ht="48" customHeight="1" x14ac:dyDescent="0.25">
      <c r="A2" s="90" t="s">
        <v>623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</row>
    <row r="3" spans="1:16" ht="15.6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16" ht="31.2" x14ac:dyDescent="0.25">
      <c r="A4" s="11" t="s">
        <v>467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2" t="s">
        <v>10</v>
      </c>
      <c r="K4" s="12" t="s">
        <v>11</v>
      </c>
      <c r="L4" s="12" t="s">
        <v>12</v>
      </c>
      <c r="M4" s="10" t="s">
        <v>584</v>
      </c>
      <c r="N4" s="5" t="s">
        <v>585</v>
      </c>
      <c r="O4" s="5" t="s">
        <v>586</v>
      </c>
      <c r="P4" s="5" t="s">
        <v>587</v>
      </c>
    </row>
    <row r="5" spans="1:16" ht="15.9" customHeight="1" x14ac:dyDescent="0.25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11" t="s">
        <v>23</v>
      </c>
      <c r="L5" s="11" t="s">
        <v>24</v>
      </c>
      <c r="M5" s="10" t="s">
        <v>25</v>
      </c>
      <c r="N5" s="5">
        <v>14</v>
      </c>
      <c r="O5" s="5">
        <v>15</v>
      </c>
      <c r="P5" s="5">
        <v>16</v>
      </c>
    </row>
    <row r="6" spans="1:16" s="35" customFormat="1" ht="15.6" x14ac:dyDescent="0.25">
      <c r="A6" s="40" t="s">
        <v>26</v>
      </c>
      <c r="B6" s="41" t="s">
        <v>0</v>
      </c>
      <c r="C6" s="41" t="s">
        <v>0</v>
      </c>
      <c r="D6" s="41" t="s">
        <v>0</v>
      </c>
      <c r="E6" s="41" t="s">
        <v>0</v>
      </c>
      <c r="F6" s="41" t="s">
        <v>0</v>
      </c>
      <c r="G6" s="41" t="s">
        <v>0</v>
      </c>
      <c r="H6" s="41" t="s">
        <v>0</v>
      </c>
      <c r="I6" s="41" t="s">
        <v>0</v>
      </c>
      <c r="J6" s="41" t="s">
        <v>0</v>
      </c>
      <c r="K6" s="41" t="s">
        <v>0</v>
      </c>
      <c r="L6" s="41" t="s">
        <v>0</v>
      </c>
      <c r="M6" s="42">
        <f>M7+M18</f>
        <v>407529297.71999997</v>
      </c>
      <c r="N6" s="42">
        <f t="shared" ref="N6:O6" si="0">N7+N18</f>
        <v>285165112.75999999</v>
      </c>
      <c r="O6" s="42">
        <f t="shared" si="0"/>
        <v>285165112.75999999</v>
      </c>
      <c r="P6" s="55">
        <f>O6/M6</f>
        <v>0.69974137897670263</v>
      </c>
    </row>
    <row r="7" spans="1:16" s="35" customFormat="1" ht="46.8" x14ac:dyDescent="0.25">
      <c r="A7" s="30" t="s">
        <v>42</v>
      </c>
      <c r="B7" s="41">
        <v>12</v>
      </c>
      <c r="C7" s="41" t="s">
        <v>0</v>
      </c>
      <c r="D7" s="41" t="s">
        <v>0</v>
      </c>
      <c r="E7" s="41" t="s">
        <v>0</v>
      </c>
      <c r="F7" s="41" t="s">
        <v>0</v>
      </c>
      <c r="G7" s="41" t="s">
        <v>0</v>
      </c>
      <c r="H7" s="43" t="s">
        <v>0</v>
      </c>
      <c r="I7" s="43" t="s">
        <v>0</v>
      </c>
      <c r="J7" s="43" t="s">
        <v>0</v>
      </c>
      <c r="K7" s="43" t="s">
        <v>0</v>
      </c>
      <c r="L7" s="43" t="s">
        <v>0</v>
      </c>
      <c r="M7" s="42">
        <f t="shared" ref="M7:O13" si="1">M8</f>
        <v>51399363.640000001</v>
      </c>
      <c r="N7" s="42">
        <f t="shared" si="1"/>
        <v>0</v>
      </c>
      <c r="O7" s="42">
        <f t="shared" si="1"/>
        <v>0</v>
      </c>
      <c r="P7" s="55">
        <f t="shared" ref="P7:P70" si="2">O7/M7</f>
        <v>0</v>
      </c>
    </row>
    <row r="8" spans="1:16" s="35" customFormat="1" ht="64.5" customHeight="1" x14ac:dyDescent="0.25">
      <c r="A8" s="30" t="s">
        <v>43</v>
      </c>
      <c r="B8" s="41">
        <v>12</v>
      </c>
      <c r="C8" s="41">
        <v>0</v>
      </c>
      <c r="D8" s="41">
        <v>12</v>
      </c>
      <c r="E8" s="41" t="s">
        <v>0</v>
      </c>
      <c r="F8" s="41" t="s">
        <v>0</v>
      </c>
      <c r="G8" s="41" t="s">
        <v>0</v>
      </c>
      <c r="H8" s="43" t="s">
        <v>0</v>
      </c>
      <c r="I8" s="43" t="s">
        <v>0</v>
      </c>
      <c r="J8" s="43" t="s">
        <v>0</v>
      </c>
      <c r="K8" s="43" t="s">
        <v>0</v>
      </c>
      <c r="L8" s="43" t="s">
        <v>0</v>
      </c>
      <c r="M8" s="42">
        <f t="shared" si="1"/>
        <v>51399363.640000001</v>
      </c>
      <c r="N8" s="42">
        <f t="shared" si="1"/>
        <v>0</v>
      </c>
      <c r="O8" s="42">
        <f t="shared" si="1"/>
        <v>0</v>
      </c>
      <c r="P8" s="55">
        <f t="shared" si="2"/>
        <v>0</v>
      </c>
    </row>
    <row r="9" spans="1:16" s="35" customFormat="1" ht="46.8" x14ac:dyDescent="0.25">
      <c r="A9" s="30" t="s">
        <v>44</v>
      </c>
      <c r="B9" s="41">
        <v>12</v>
      </c>
      <c r="C9" s="41">
        <v>0</v>
      </c>
      <c r="D9" s="41">
        <v>12</v>
      </c>
      <c r="E9" s="41">
        <v>812</v>
      </c>
      <c r="F9" s="41" t="s">
        <v>0</v>
      </c>
      <c r="G9" s="41" t="s">
        <v>0</v>
      </c>
      <c r="H9" s="43" t="s">
        <v>0</v>
      </c>
      <c r="I9" s="43" t="s">
        <v>0</v>
      </c>
      <c r="J9" s="43" t="s">
        <v>0</v>
      </c>
      <c r="K9" s="43" t="s">
        <v>0</v>
      </c>
      <c r="L9" s="43" t="s">
        <v>0</v>
      </c>
      <c r="M9" s="42">
        <f t="shared" si="1"/>
        <v>51399363.640000001</v>
      </c>
      <c r="N9" s="42">
        <f t="shared" si="1"/>
        <v>0</v>
      </c>
      <c r="O9" s="42">
        <f t="shared" si="1"/>
        <v>0</v>
      </c>
      <c r="P9" s="55">
        <f t="shared" si="2"/>
        <v>0</v>
      </c>
    </row>
    <row r="10" spans="1:16" s="35" customFormat="1" ht="63.75" customHeight="1" x14ac:dyDescent="0.25">
      <c r="A10" s="40" t="s">
        <v>46</v>
      </c>
      <c r="B10" s="41">
        <v>12</v>
      </c>
      <c r="C10" s="41">
        <v>0</v>
      </c>
      <c r="D10" s="41">
        <v>12</v>
      </c>
      <c r="E10" s="41">
        <v>812</v>
      </c>
      <c r="F10" s="41"/>
      <c r="G10" s="41"/>
      <c r="H10" s="41"/>
      <c r="I10" s="41"/>
      <c r="J10" s="41"/>
      <c r="K10" s="41"/>
      <c r="L10" s="41"/>
      <c r="M10" s="42">
        <f t="shared" si="1"/>
        <v>51399363.640000001</v>
      </c>
      <c r="N10" s="42">
        <f t="shared" si="1"/>
        <v>0</v>
      </c>
      <c r="O10" s="42">
        <f t="shared" si="1"/>
        <v>0</v>
      </c>
      <c r="P10" s="55">
        <f t="shared" si="2"/>
        <v>0</v>
      </c>
    </row>
    <row r="11" spans="1:16" s="35" customFormat="1" ht="33.75" customHeight="1" x14ac:dyDescent="0.25">
      <c r="A11" s="31" t="s">
        <v>47</v>
      </c>
      <c r="B11" s="41">
        <v>12</v>
      </c>
      <c r="C11" s="41">
        <v>0</v>
      </c>
      <c r="D11" s="41">
        <v>12</v>
      </c>
      <c r="E11" s="41">
        <v>812</v>
      </c>
      <c r="F11" s="44" t="s">
        <v>48</v>
      </c>
      <c r="G11" s="41" t="s">
        <v>0</v>
      </c>
      <c r="H11" s="41" t="s">
        <v>0</v>
      </c>
      <c r="I11" s="41" t="s">
        <v>0</v>
      </c>
      <c r="J11" s="41" t="s">
        <v>0</v>
      </c>
      <c r="K11" s="41" t="s">
        <v>0</v>
      </c>
      <c r="L11" s="41" t="s">
        <v>0</v>
      </c>
      <c r="M11" s="42">
        <f t="shared" si="1"/>
        <v>51399363.640000001</v>
      </c>
      <c r="N11" s="42">
        <f t="shared" si="1"/>
        <v>0</v>
      </c>
      <c r="O11" s="42">
        <f t="shared" si="1"/>
        <v>0</v>
      </c>
      <c r="P11" s="55">
        <f t="shared" si="2"/>
        <v>0</v>
      </c>
    </row>
    <row r="12" spans="1:16" s="35" customFormat="1" ht="33.75" customHeight="1" x14ac:dyDescent="0.25">
      <c r="A12" s="31" t="s">
        <v>49</v>
      </c>
      <c r="B12" s="41">
        <v>12</v>
      </c>
      <c r="C12" s="41">
        <v>0</v>
      </c>
      <c r="D12" s="41">
        <v>12</v>
      </c>
      <c r="E12" s="41">
        <v>812</v>
      </c>
      <c r="F12" s="44" t="s">
        <v>48</v>
      </c>
      <c r="G12" s="44" t="s">
        <v>28</v>
      </c>
      <c r="H12" s="44" t="s">
        <v>0</v>
      </c>
      <c r="I12" s="44" t="s">
        <v>0</v>
      </c>
      <c r="J12" s="41" t="s">
        <v>0</v>
      </c>
      <c r="K12" s="41" t="s">
        <v>0</v>
      </c>
      <c r="L12" s="41" t="s">
        <v>0</v>
      </c>
      <c r="M12" s="42">
        <f t="shared" si="1"/>
        <v>51399363.640000001</v>
      </c>
      <c r="N12" s="42">
        <f t="shared" si="1"/>
        <v>0</v>
      </c>
      <c r="O12" s="42">
        <f t="shared" si="1"/>
        <v>0</v>
      </c>
      <c r="P12" s="55">
        <f t="shared" si="2"/>
        <v>0</v>
      </c>
    </row>
    <row r="13" spans="1:16" s="35" customFormat="1" ht="31.2" x14ac:dyDescent="0.25">
      <c r="A13" s="30" t="s">
        <v>37</v>
      </c>
      <c r="B13" s="41">
        <v>12</v>
      </c>
      <c r="C13" s="41">
        <v>0</v>
      </c>
      <c r="D13" s="41">
        <v>12</v>
      </c>
      <c r="E13" s="41">
        <v>812</v>
      </c>
      <c r="F13" s="44" t="s">
        <v>48</v>
      </c>
      <c r="G13" s="44" t="s">
        <v>28</v>
      </c>
      <c r="H13" s="44" t="s">
        <v>38</v>
      </c>
      <c r="I13" s="45" t="s">
        <v>0</v>
      </c>
      <c r="J13" s="43" t="s">
        <v>0</v>
      </c>
      <c r="K13" s="43" t="s">
        <v>0</v>
      </c>
      <c r="L13" s="43" t="s">
        <v>0</v>
      </c>
      <c r="M13" s="42">
        <f t="shared" si="1"/>
        <v>51399363.640000001</v>
      </c>
      <c r="N13" s="42">
        <f t="shared" si="1"/>
        <v>0</v>
      </c>
      <c r="O13" s="42">
        <f t="shared" si="1"/>
        <v>0</v>
      </c>
      <c r="P13" s="55">
        <f t="shared" si="2"/>
        <v>0</v>
      </c>
    </row>
    <row r="14" spans="1:16" s="35" customFormat="1" ht="78" x14ac:dyDescent="0.25">
      <c r="A14" s="30" t="s">
        <v>50</v>
      </c>
      <c r="B14" s="41">
        <v>12</v>
      </c>
      <c r="C14" s="41">
        <v>0</v>
      </c>
      <c r="D14" s="41">
        <v>12</v>
      </c>
      <c r="E14" s="41">
        <v>812</v>
      </c>
      <c r="F14" s="44" t="s">
        <v>48</v>
      </c>
      <c r="G14" s="44" t="s">
        <v>28</v>
      </c>
      <c r="H14" s="44" t="s">
        <v>38</v>
      </c>
      <c r="I14" s="44" t="s">
        <v>51</v>
      </c>
      <c r="J14" s="41" t="s">
        <v>0</v>
      </c>
      <c r="K14" s="41" t="s">
        <v>0</v>
      </c>
      <c r="L14" s="41" t="s">
        <v>0</v>
      </c>
      <c r="M14" s="42">
        <f>M15+M16+M17</f>
        <v>51399363.640000001</v>
      </c>
      <c r="N14" s="42">
        <f t="shared" ref="N14:O14" si="3">N15+N16+N17</f>
        <v>0</v>
      </c>
      <c r="O14" s="42">
        <f t="shared" si="3"/>
        <v>0</v>
      </c>
      <c r="P14" s="55">
        <f t="shared" si="2"/>
        <v>0</v>
      </c>
    </row>
    <row r="15" spans="1:16" ht="271.5" customHeight="1" x14ac:dyDescent="0.25">
      <c r="A15" s="28" t="s">
        <v>581</v>
      </c>
      <c r="B15" s="11">
        <v>12</v>
      </c>
      <c r="C15" s="11">
        <v>0</v>
      </c>
      <c r="D15" s="11">
        <v>12</v>
      </c>
      <c r="E15" s="11">
        <v>812</v>
      </c>
      <c r="F15" s="15" t="s">
        <v>48</v>
      </c>
      <c r="G15" s="15" t="s">
        <v>28</v>
      </c>
      <c r="H15" s="15" t="s">
        <v>38</v>
      </c>
      <c r="I15" s="15" t="s">
        <v>51</v>
      </c>
      <c r="J15" s="11" t="s">
        <v>580</v>
      </c>
      <c r="K15" s="11">
        <v>10.08</v>
      </c>
      <c r="L15" s="11">
        <v>2019</v>
      </c>
      <c r="M15" s="14">
        <v>27577627.43</v>
      </c>
      <c r="N15" s="14">
        <v>0</v>
      </c>
      <c r="O15" s="14">
        <v>0</v>
      </c>
      <c r="P15" s="56">
        <f t="shared" si="2"/>
        <v>0</v>
      </c>
    </row>
    <row r="16" spans="1:16" ht="274.5" customHeight="1" x14ac:dyDescent="0.25">
      <c r="A16" s="28" t="s">
        <v>582</v>
      </c>
      <c r="B16" s="11">
        <v>12</v>
      </c>
      <c r="C16" s="11">
        <v>0</v>
      </c>
      <c r="D16" s="11">
        <v>12</v>
      </c>
      <c r="E16" s="11">
        <v>812</v>
      </c>
      <c r="F16" s="15" t="s">
        <v>48</v>
      </c>
      <c r="G16" s="15" t="s">
        <v>28</v>
      </c>
      <c r="H16" s="15" t="s">
        <v>38</v>
      </c>
      <c r="I16" s="15" t="s">
        <v>51</v>
      </c>
      <c r="J16" s="11" t="s">
        <v>580</v>
      </c>
      <c r="K16" s="11">
        <v>3.44</v>
      </c>
      <c r="L16" s="11">
        <v>2019</v>
      </c>
      <c r="M16" s="14">
        <v>8011454.1600000001</v>
      </c>
      <c r="N16" s="14">
        <v>0</v>
      </c>
      <c r="O16" s="14">
        <v>0</v>
      </c>
      <c r="P16" s="56">
        <f t="shared" si="2"/>
        <v>0</v>
      </c>
    </row>
    <row r="17" spans="1:16" ht="207.75" customHeight="1" x14ac:dyDescent="0.25">
      <c r="A17" s="28" t="s">
        <v>583</v>
      </c>
      <c r="B17" s="11">
        <v>12</v>
      </c>
      <c r="C17" s="11">
        <v>0</v>
      </c>
      <c r="D17" s="11">
        <v>12</v>
      </c>
      <c r="E17" s="11">
        <v>812</v>
      </c>
      <c r="F17" s="15" t="s">
        <v>48</v>
      </c>
      <c r="G17" s="15" t="s">
        <v>28</v>
      </c>
      <c r="H17" s="15" t="s">
        <v>38</v>
      </c>
      <c r="I17" s="15" t="s">
        <v>51</v>
      </c>
      <c r="J17" s="11" t="s">
        <v>580</v>
      </c>
      <c r="K17" s="11">
        <v>6.87</v>
      </c>
      <c r="L17" s="11">
        <v>2019</v>
      </c>
      <c r="M17" s="14">
        <v>15810282.050000001</v>
      </c>
      <c r="N17" s="14">
        <v>0</v>
      </c>
      <c r="O17" s="14">
        <v>0</v>
      </c>
      <c r="P17" s="56">
        <f t="shared" si="2"/>
        <v>0</v>
      </c>
    </row>
    <row r="18" spans="1:16" s="35" customFormat="1" ht="33.75" customHeight="1" x14ac:dyDescent="0.25">
      <c r="A18" s="40" t="s">
        <v>60</v>
      </c>
      <c r="B18" s="41" t="s">
        <v>61</v>
      </c>
      <c r="C18" s="41" t="s">
        <v>0</v>
      </c>
      <c r="D18" s="41" t="s">
        <v>0</v>
      </c>
      <c r="E18" s="41" t="s">
        <v>0</v>
      </c>
      <c r="F18" s="41" t="s">
        <v>0</v>
      </c>
      <c r="G18" s="41" t="s">
        <v>0</v>
      </c>
      <c r="H18" s="43" t="s">
        <v>0</v>
      </c>
      <c r="I18" s="43" t="s">
        <v>0</v>
      </c>
      <c r="J18" s="43" t="s">
        <v>0</v>
      </c>
      <c r="K18" s="43" t="s">
        <v>0</v>
      </c>
      <c r="L18" s="43" t="s">
        <v>0</v>
      </c>
      <c r="M18" s="42">
        <f t="shared" ref="M18:O21" si="4">M19</f>
        <v>356129934.07999998</v>
      </c>
      <c r="N18" s="42">
        <f t="shared" si="4"/>
        <v>285165112.75999999</v>
      </c>
      <c r="O18" s="42">
        <f t="shared" si="4"/>
        <v>285165112.75999999</v>
      </c>
      <c r="P18" s="55">
        <f t="shared" si="2"/>
        <v>0.80073334328571588</v>
      </c>
    </row>
    <row r="19" spans="1:16" s="35" customFormat="1" ht="68.25" customHeight="1" x14ac:dyDescent="0.25">
      <c r="A19" s="40" t="s">
        <v>94</v>
      </c>
      <c r="B19" s="41" t="s">
        <v>61</v>
      </c>
      <c r="C19" s="41" t="s">
        <v>13</v>
      </c>
      <c r="D19" s="41" t="s">
        <v>0</v>
      </c>
      <c r="E19" s="41" t="s">
        <v>0</v>
      </c>
      <c r="F19" s="41" t="s">
        <v>0</v>
      </c>
      <c r="G19" s="41" t="s">
        <v>0</v>
      </c>
      <c r="H19" s="43" t="s">
        <v>0</v>
      </c>
      <c r="I19" s="43" t="s">
        <v>0</v>
      </c>
      <c r="J19" s="43" t="s">
        <v>0</v>
      </c>
      <c r="K19" s="43" t="s">
        <v>0</v>
      </c>
      <c r="L19" s="43" t="s">
        <v>0</v>
      </c>
      <c r="M19" s="42">
        <f t="shared" si="4"/>
        <v>356129934.07999998</v>
      </c>
      <c r="N19" s="42">
        <f t="shared" si="4"/>
        <v>285165112.75999999</v>
      </c>
      <c r="O19" s="42">
        <f t="shared" si="4"/>
        <v>285165112.75999999</v>
      </c>
      <c r="P19" s="55">
        <f t="shared" si="2"/>
        <v>0.80073334328571588</v>
      </c>
    </row>
    <row r="20" spans="1:16" s="35" customFormat="1" ht="64.5" customHeight="1" x14ac:dyDescent="0.25">
      <c r="A20" s="40" t="s">
        <v>95</v>
      </c>
      <c r="B20" s="41" t="s">
        <v>61</v>
      </c>
      <c r="C20" s="41" t="s">
        <v>13</v>
      </c>
      <c r="D20" s="41" t="s">
        <v>96</v>
      </c>
      <c r="E20" s="41" t="s">
        <v>0</v>
      </c>
      <c r="F20" s="41" t="s">
        <v>0</v>
      </c>
      <c r="G20" s="41" t="s">
        <v>0</v>
      </c>
      <c r="H20" s="43" t="s">
        <v>0</v>
      </c>
      <c r="I20" s="43" t="s">
        <v>0</v>
      </c>
      <c r="J20" s="43" t="s">
        <v>0</v>
      </c>
      <c r="K20" s="43" t="s">
        <v>0</v>
      </c>
      <c r="L20" s="43" t="s">
        <v>0</v>
      </c>
      <c r="M20" s="42">
        <f t="shared" si="4"/>
        <v>356129934.07999998</v>
      </c>
      <c r="N20" s="42">
        <f t="shared" si="4"/>
        <v>285165112.75999999</v>
      </c>
      <c r="O20" s="42">
        <f t="shared" si="4"/>
        <v>285165112.75999999</v>
      </c>
      <c r="P20" s="55">
        <f t="shared" si="2"/>
        <v>0.80073334328571588</v>
      </c>
    </row>
    <row r="21" spans="1:16" s="35" customFormat="1" ht="34.5" customHeight="1" x14ac:dyDescent="0.25">
      <c r="A21" s="40" t="s">
        <v>97</v>
      </c>
      <c r="B21" s="41" t="s">
        <v>61</v>
      </c>
      <c r="C21" s="41" t="s">
        <v>13</v>
      </c>
      <c r="D21" s="41" t="s">
        <v>96</v>
      </c>
      <c r="E21" s="41" t="s">
        <v>98</v>
      </c>
      <c r="F21" s="41" t="s">
        <v>0</v>
      </c>
      <c r="G21" s="41" t="s">
        <v>0</v>
      </c>
      <c r="H21" s="43" t="s">
        <v>0</v>
      </c>
      <c r="I21" s="43" t="s">
        <v>0</v>
      </c>
      <c r="J21" s="43" t="s">
        <v>0</v>
      </c>
      <c r="K21" s="43" t="s">
        <v>0</v>
      </c>
      <c r="L21" s="43" t="s">
        <v>0</v>
      </c>
      <c r="M21" s="42">
        <f t="shared" si="4"/>
        <v>356129934.07999998</v>
      </c>
      <c r="N21" s="42">
        <f t="shared" si="4"/>
        <v>285165112.75999999</v>
      </c>
      <c r="O21" s="42">
        <f t="shared" si="4"/>
        <v>285165112.75999999</v>
      </c>
      <c r="P21" s="55">
        <f t="shared" si="2"/>
        <v>0.80073334328571588</v>
      </c>
    </row>
    <row r="22" spans="1:16" s="35" customFormat="1" ht="18.75" customHeight="1" x14ac:dyDescent="0.25">
      <c r="A22" s="46" t="s">
        <v>64</v>
      </c>
      <c r="B22" s="41" t="s">
        <v>61</v>
      </c>
      <c r="C22" s="41" t="s">
        <v>13</v>
      </c>
      <c r="D22" s="41" t="s">
        <v>96</v>
      </c>
      <c r="E22" s="41" t="s">
        <v>98</v>
      </c>
      <c r="F22" s="41" t="s">
        <v>65</v>
      </c>
      <c r="G22" s="41" t="s">
        <v>0</v>
      </c>
      <c r="H22" s="41" t="s">
        <v>0</v>
      </c>
      <c r="I22" s="41" t="s">
        <v>0</v>
      </c>
      <c r="J22" s="41" t="s">
        <v>0</v>
      </c>
      <c r="K22" s="41" t="s">
        <v>0</v>
      </c>
      <c r="L22" s="41" t="s">
        <v>0</v>
      </c>
      <c r="M22" s="42">
        <f>M23+M214+M229+M236</f>
        <v>356129934.07999998</v>
      </c>
      <c r="N22" s="42">
        <f t="shared" ref="N22:O22" si="5">N23+N214+N229+N236</f>
        <v>285165112.75999999</v>
      </c>
      <c r="O22" s="42">
        <f t="shared" si="5"/>
        <v>285165112.75999999</v>
      </c>
      <c r="P22" s="55">
        <f t="shared" si="2"/>
        <v>0.80073334328571588</v>
      </c>
    </row>
    <row r="23" spans="1:16" s="35" customFormat="1" ht="18.75" customHeight="1" x14ac:dyDescent="0.25">
      <c r="A23" s="46" t="s">
        <v>70</v>
      </c>
      <c r="B23" s="41" t="s">
        <v>61</v>
      </c>
      <c r="C23" s="41" t="s">
        <v>13</v>
      </c>
      <c r="D23" s="41" t="s">
        <v>96</v>
      </c>
      <c r="E23" s="41" t="s">
        <v>98</v>
      </c>
      <c r="F23" s="41" t="s">
        <v>65</v>
      </c>
      <c r="G23" s="41" t="s">
        <v>71</v>
      </c>
      <c r="H23" s="41" t="s">
        <v>0</v>
      </c>
      <c r="I23" s="41" t="s">
        <v>0</v>
      </c>
      <c r="J23" s="41" t="s">
        <v>0</v>
      </c>
      <c r="K23" s="41" t="s">
        <v>0</v>
      </c>
      <c r="L23" s="41" t="s">
        <v>0</v>
      </c>
      <c r="M23" s="42">
        <f>M24</f>
        <v>330428752.88</v>
      </c>
      <c r="N23" s="42">
        <f t="shared" ref="N23:O23" si="6">N24</f>
        <v>259463931.56</v>
      </c>
      <c r="O23" s="42">
        <f t="shared" si="6"/>
        <v>259463931.56</v>
      </c>
      <c r="P23" s="55">
        <f t="shared" si="2"/>
        <v>0.78523412172374751</v>
      </c>
    </row>
    <row r="24" spans="1:16" s="35" customFormat="1" ht="53.25" customHeight="1" x14ac:dyDescent="0.25">
      <c r="A24" s="40" t="s">
        <v>99</v>
      </c>
      <c r="B24" s="41" t="s">
        <v>61</v>
      </c>
      <c r="C24" s="41" t="s">
        <v>13</v>
      </c>
      <c r="D24" s="41" t="s">
        <v>96</v>
      </c>
      <c r="E24" s="41" t="s">
        <v>98</v>
      </c>
      <c r="F24" s="41" t="s">
        <v>65</v>
      </c>
      <c r="G24" s="41" t="s">
        <v>71</v>
      </c>
      <c r="H24" s="41" t="s">
        <v>100</v>
      </c>
      <c r="I24" s="43" t="s">
        <v>0</v>
      </c>
      <c r="J24" s="43" t="s">
        <v>0</v>
      </c>
      <c r="K24" s="43" t="s">
        <v>0</v>
      </c>
      <c r="L24" s="43" t="s">
        <v>0</v>
      </c>
      <c r="M24" s="42">
        <f>M25+M202</f>
        <v>330428752.88</v>
      </c>
      <c r="N24" s="42">
        <f t="shared" ref="N24:O24" si="7">N25+N202</f>
        <v>259463931.56</v>
      </c>
      <c r="O24" s="42">
        <f t="shared" si="7"/>
        <v>259463931.56</v>
      </c>
      <c r="P24" s="55">
        <f t="shared" si="2"/>
        <v>0.78523412172374751</v>
      </c>
    </row>
    <row r="25" spans="1:16" s="35" customFormat="1" ht="67.5" customHeight="1" x14ac:dyDescent="0.25">
      <c r="A25" s="40" t="s">
        <v>101</v>
      </c>
      <c r="B25" s="41" t="s">
        <v>61</v>
      </c>
      <c r="C25" s="41" t="s">
        <v>13</v>
      </c>
      <c r="D25" s="41" t="s">
        <v>96</v>
      </c>
      <c r="E25" s="41" t="s">
        <v>98</v>
      </c>
      <c r="F25" s="41" t="s">
        <v>65</v>
      </c>
      <c r="G25" s="41" t="s">
        <v>71</v>
      </c>
      <c r="H25" s="41" t="s">
        <v>100</v>
      </c>
      <c r="I25" s="41" t="s">
        <v>102</v>
      </c>
      <c r="J25" s="41" t="s">
        <v>0</v>
      </c>
      <c r="K25" s="41" t="s">
        <v>0</v>
      </c>
      <c r="L25" s="41" t="s">
        <v>0</v>
      </c>
      <c r="M25" s="42">
        <f>M26+M37+M43+M48+M50+M52+M57+M71+M83+M104+M108+M111+M114+M118+M151+M155+M157+M165+M172+M176+M180+M193+M201</f>
        <v>318671473.68000001</v>
      </c>
      <c r="N25" s="42">
        <f t="shared" ref="N25:O25" si="8">N26+N37+N43+N48+N50+N52+N57+N71+N83+N104+N108+N111+N114+N118+N151+N155+N157+N165+N172+N176+N180+N193+N201</f>
        <v>247706652.36000001</v>
      </c>
      <c r="O25" s="42">
        <f t="shared" si="8"/>
        <v>247706652.36000001</v>
      </c>
      <c r="P25" s="55">
        <f t="shared" si="2"/>
        <v>0.77731040528823525</v>
      </c>
    </row>
    <row r="26" spans="1:16" s="35" customFormat="1" ht="63.75" customHeight="1" x14ac:dyDescent="0.25">
      <c r="A26" s="40" t="s">
        <v>621</v>
      </c>
      <c r="B26" s="41" t="s">
        <v>61</v>
      </c>
      <c r="C26" s="41" t="s">
        <v>13</v>
      </c>
      <c r="D26" s="41" t="s">
        <v>96</v>
      </c>
      <c r="E26" s="41" t="s">
        <v>98</v>
      </c>
      <c r="F26" s="41" t="s">
        <v>65</v>
      </c>
      <c r="G26" s="41" t="s">
        <v>71</v>
      </c>
      <c r="H26" s="41" t="s">
        <v>100</v>
      </c>
      <c r="I26" s="41" t="s">
        <v>102</v>
      </c>
      <c r="J26" s="41"/>
      <c r="K26" s="41"/>
      <c r="L26" s="41"/>
      <c r="M26" s="42">
        <f>SUM(M27:M36)</f>
        <v>19446345.16</v>
      </c>
      <c r="N26" s="42">
        <f t="shared" ref="N26:O26" si="9">SUM(N27:N36)</f>
        <v>19446345.16</v>
      </c>
      <c r="O26" s="42">
        <f t="shared" si="9"/>
        <v>19446345.16</v>
      </c>
      <c r="P26" s="55">
        <f t="shared" si="2"/>
        <v>1</v>
      </c>
    </row>
    <row r="27" spans="1:16" ht="36" customHeight="1" x14ac:dyDescent="0.25">
      <c r="A27" s="13" t="s">
        <v>468</v>
      </c>
      <c r="B27" s="11" t="s">
        <v>61</v>
      </c>
      <c r="C27" s="11" t="s">
        <v>13</v>
      </c>
      <c r="D27" s="11" t="s">
        <v>96</v>
      </c>
      <c r="E27" s="11" t="s">
        <v>98</v>
      </c>
      <c r="F27" s="11" t="s">
        <v>65</v>
      </c>
      <c r="G27" s="11" t="s">
        <v>71</v>
      </c>
      <c r="H27" s="11" t="s">
        <v>100</v>
      </c>
      <c r="I27" s="11" t="s">
        <v>102</v>
      </c>
      <c r="J27" s="11" t="s">
        <v>469</v>
      </c>
      <c r="K27" s="11">
        <v>39.1</v>
      </c>
      <c r="L27" s="11">
        <v>2019</v>
      </c>
      <c r="M27" s="14">
        <f>30412*K27-2128.84</f>
        <v>1186980.3599999999</v>
      </c>
      <c r="N27" s="14">
        <v>1186980.3600000001</v>
      </c>
      <c r="O27" s="14">
        <v>1186980.3600000001</v>
      </c>
      <c r="P27" s="56">
        <f t="shared" si="2"/>
        <v>1.0000000000000002</v>
      </c>
    </row>
    <row r="28" spans="1:16" ht="31.2" x14ac:dyDescent="0.25">
      <c r="A28" s="13" t="s">
        <v>468</v>
      </c>
      <c r="B28" s="11" t="s">
        <v>61</v>
      </c>
      <c r="C28" s="11" t="s">
        <v>13</v>
      </c>
      <c r="D28" s="11" t="s">
        <v>96</v>
      </c>
      <c r="E28" s="11" t="s">
        <v>98</v>
      </c>
      <c r="F28" s="11" t="s">
        <v>65</v>
      </c>
      <c r="G28" s="11" t="s">
        <v>71</v>
      </c>
      <c r="H28" s="11" t="s">
        <v>100</v>
      </c>
      <c r="I28" s="11" t="s">
        <v>102</v>
      </c>
      <c r="J28" s="11" t="s">
        <v>469</v>
      </c>
      <c r="K28" s="11">
        <v>39.1</v>
      </c>
      <c r="L28" s="11">
        <v>2019</v>
      </c>
      <c r="M28" s="14">
        <f>30412*K28-2128.84</f>
        <v>1186980.3599999999</v>
      </c>
      <c r="N28" s="14">
        <v>1186980.3600000001</v>
      </c>
      <c r="O28" s="14">
        <v>1186980.3600000001</v>
      </c>
      <c r="P28" s="56">
        <f t="shared" si="2"/>
        <v>1.0000000000000002</v>
      </c>
    </row>
    <row r="29" spans="1:16" ht="31.2" x14ac:dyDescent="0.25">
      <c r="A29" s="13" t="s">
        <v>468</v>
      </c>
      <c r="B29" s="11" t="s">
        <v>61</v>
      </c>
      <c r="C29" s="11" t="s">
        <v>13</v>
      </c>
      <c r="D29" s="11" t="s">
        <v>96</v>
      </c>
      <c r="E29" s="11" t="s">
        <v>98</v>
      </c>
      <c r="F29" s="11" t="s">
        <v>65</v>
      </c>
      <c r="G29" s="11" t="s">
        <v>71</v>
      </c>
      <c r="H29" s="11" t="s">
        <v>100</v>
      </c>
      <c r="I29" s="11" t="s">
        <v>102</v>
      </c>
      <c r="J29" s="11" t="s">
        <v>469</v>
      </c>
      <c r="K29" s="11">
        <v>39.299999999999997</v>
      </c>
      <c r="L29" s="11">
        <v>2019</v>
      </c>
      <c r="M29" s="14">
        <f>30412*K29-8211.24</f>
        <v>1186980.3599999999</v>
      </c>
      <c r="N29" s="14">
        <v>1186980.3600000001</v>
      </c>
      <c r="O29" s="14">
        <v>1186980.3600000001</v>
      </c>
      <c r="P29" s="56">
        <f t="shared" si="2"/>
        <v>1.0000000000000002</v>
      </c>
    </row>
    <row r="30" spans="1:16" ht="31.2" x14ac:dyDescent="0.25">
      <c r="A30" s="13" t="s">
        <v>468</v>
      </c>
      <c r="B30" s="11" t="s">
        <v>61</v>
      </c>
      <c r="C30" s="11" t="s">
        <v>13</v>
      </c>
      <c r="D30" s="11" t="s">
        <v>96</v>
      </c>
      <c r="E30" s="11" t="s">
        <v>98</v>
      </c>
      <c r="F30" s="11" t="s">
        <v>65</v>
      </c>
      <c r="G30" s="11" t="s">
        <v>71</v>
      </c>
      <c r="H30" s="11" t="s">
        <v>100</v>
      </c>
      <c r="I30" s="11" t="s">
        <v>102</v>
      </c>
      <c r="J30" s="11" t="s">
        <v>469</v>
      </c>
      <c r="K30" s="11">
        <v>42.6</v>
      </c>
      <c r="L30" s="11">
        <v>2019</v>
      </c>
      <c r="M30" s="14">
        <f>30412*K30-1216.48</f>
        <v>1294334.72</v>
      </c>
      <c r="N30" s="14">
        <v>1294334.72</v>
      </c>
      <c r="O30" s="14">
        <v>1294334.72</v>
      </c>
      <c r="P30" s="56">
        <f t="shared" si="2"/>
        <v>1</v>
      </c>
    </row>
    <row r="31" spans="1:16" ht="31.2" x14ac:dyDescent="0.25">
      <c r="A31" s="13" t="s">
        <v>470</v>
      </c>
      <c r="B31" s="11" t="s">
        <v>61</v>
      </c>
      <c r="C31" s="11" t="s">
        <v>13</v>
      </c>
      <c r="D31" s="11" t="s">
        <v>96</v>
      </c>
      <c r="E31" s="11" t="s">
        <v>98</v>
      </c>
      <c r="F31" s="11" t="s">
        <v>65</v>
      </c>
      <c r="G31" s="11" t="s">
        <v>71</v>
      </c>
      <c r="H31" s="11" t="s">
        <v>100</v>
      </c>
      <c r="I31" s="11" t="s">
        <v>102</v>
      </c>
      <c r="J31" s="11" t="s">
        <v>469</v>
      </c>
      <c r="K31" s="11">
        <v>71.599999999999994</v>
      </c>
      <c r="L31" s="11">
        <v>2019</v>
      </c>
      <c r="M31" s="14">
        <f>30412*K31</f>
        <v>2177499.1999999997</v>
      </c>
      <c r="N31" s="14">
        <v>2177499.2000000002</v>
      </c>
      <c r="O31" s="14">
        <v>2177499.2000000002</v>
      </c>
      <c r="P31" s="56">
        <f t="shared" si="2"/>
        <v>1.0000000000000002</v>
      </c>
    </row>
    <row r="32" spans="1:16" ht="31.2" x14ac:dyDescent="0.25">
      <c r="A32" s="13" t="s">
        <v>470</v>
      </c>
      <c r="B32" s="11" t="s">
        <v>61</v>
      </c>
      <c r="C32" s="11" t="s">
        <v>13</v>
      </c>
      <c r="D32" s="11" t="s">
        <v>96</v>
      </c>
      <c r="E32" s="11" t="s">
        <v>98</v>
      </c>
      <c r="F32" s="11" t="s">
        <v>65</v>
      </c>
      <c r="G32" s="11" t="s">
        <v>71</v>
      </c>
      <c r="H32" s="11" t="s">
        <v>100</v>
      </c>
      <c r="I32" s="11" t="s">
        <v>102</v>
      </c>
      <c r="J32" s="11" t="s">
        <v>469</v>
      </c>
      <c r="K32" s="11">
        <v>72.5</v>
      </c>
      <c r="L32" s="11">
        <v>2019</v>
      </c>
      <c r="M32" s="14">
        <f>30412*K32</f>
        <v>2204870</v>
      </c>
      <c r="N32" s="14">
        <v>2204870</v>
      </c>
      <c r="O32" s="14">
        <v>2204870</v>
      </c>
      <c r="P32" s="56">
        <f t="shared" si="2"/>
        <v>1</v>
      </c>
    </row>
    <row r="33" spans="1:16" ht="31.2" x14ac:dyDescent="0.25">
      <c r="A33" s="13" t="s">
        <v>470</v>
      </c>
      <c r="B33" s="11" t="s">
        <v>61</v>
      </c>
      <c r="C33" s="11" t="s">
        <v>13</v>
      </c>
      <c r="D33" s="11" t="s">
        <v>96</v>
      </c>
      <c r="E33" s="11" t="s">
        <v>98</v>
      </c>
      <c r="F33" s="11" t="s">
        <v>65</v>
      </c>
      <c r="G33" s="11" t="s">
        <v>71</v>
      </c>
      <c r="H33" s="11" t="s">
        <v>100</v>
      </c>
      <c r="I33" s="11" t="s">
        <v>102</v>
      </c>
      <c r="J33" s="11" t="s">
        <v>469</v>
      </c>
      <c r="K33" s="11">
        <v>72.900000000000006</v>
      </c>
      <c r="L33" s="11">
        <v>2019</v>
      </c>
      <c r="M33" s="14">
        <f>30412*K33-11556.56</f>
        <v>2205478.2400000002</v>
      </c>
      <c r="N33" s="14">
        <v>2205478.2400000002</v>
      </c>
      <c r="O33" s="14">
        <v>2205478.2400000002</v>
      </c>
      <c r="P33" s="56">
        <f t="shared" si="2"/>
        <v>1</v>
      </c>
    </row>
    <row r="34" spans="1:16" ht="31.2" x14ac:dyDescent="0.25">
      <c r="A34" s="13" t="s">
        <v>470</v>
      </c>
      <c r="B34" s="11" t="s">
        <v>61</v>
      </c>
      <c r="C34" s="11" t="s">
        <v>13</v>
      </c>
      <c r="D34" s="11" t="s">
        <v>96</v>
      </c>
      <c r="E34" s="11" t="s">
        <v>98</v>
      </c>
      <c r="F34" s="11" t="s">
        <v>65</v>
      </c>
      <c r="G34" s="11" t="s">
        <v>71</v>
      </c>
      <c r="H34" s="11" t="s">
        <v>100</v>
      </c>
      <c r="I34" s="11" t="s">
        <v>102</v>
      </c>
      <c r="J34" s="11" t="s">
        <v>469</v>
      </c>
      <c r="K34" s="11">
        <v>88.2</v>
      </c>
      <c r="L34" s="11">
        <v>2019</v>
      </c>
      <c r="M34" s="14">
        <f>30412*K34-14597.76</f>
        <v>2667740.64</v>
      </c>
      <c r="N34" s="14">
        <v>2667740.64</v>
      </c>
      <c r="O34" s="14">
        <v>2667740.64</v>
      </c>
      <c r="P34" s="56">
        <f t="shared" si="2"/>
        <v>1</v>
      </c>
    </row>
    <row r="35" spans="1:16" ht="31.2" x14ac:dyDescent="0.25">
      <c r="A35" s="13" t="s">
        <v>470</v>
      </c>
      <c r="B35" s="11" t="s">
        <v>61</v>
      </c>
      <c r="C35" s="11" t="s">
        <v>13</v>
      </c>
      <c r="D35" s="11" t="s">
        <v>96</v>
      </c>
      <c r="E35" s="11" t="s">
        <v>98</v>
      </c>
      <c r="F35" s="11" t="s">
        <v>65</v>
      </c>
      <c r="G35" s="11" t="s">
        <v>71</v>
      </c>
      <c r="H35" s="11" t="s">
        <v>100</v>
      </c>
      <c r="I35" s="11" t="s">
        <v>102</v>
      </c>
      <c r="J35" s="11" t="s">
        <v>469</v>
      </c>
      <c r="K35" s="11">
        <v>88.7</v>
      </c>
      <c r="L35" s="11">
        <v>2019</v>
      </c>
      <c r="M35" s="14">
        <f>30412*K35-29803.76</f>
        <v>2667740.64</v>
      </c>
      <c r="N35" s="14">
        <v>2667740.64</v>
      </c>
      <c r="O35" s="14">
        <v>2667740.64</v>
      </c>
      <c r="P35" s="56">
        <f t="shared" si="2"/>
        <v>1</v>
      </c>
    </row>
    <row r="36" spans="1:16" ht="32.25" customHeight="1" x14ac:dyDescent="0.25">
      <c r="A36" s="13" t="s">
        <v>470</v>
      </c>
      <c r="B36" s="11" t="s">
        <v>61</v>
      </c>
      <c r="C36" s="11" t="s">
        <v>13</v>
      </c>
      <c r="D36" s="11" t="s">
        <v>96</v>
      </c>
      <c r="E36" s="11" t="s">
        <v>98</v>
      </c>
      <c r="F36" s="11" t="s">
        <v>65</v>
      </c>
      <c r="G36" s="11" t="s">
        <v>71</v>
      </c>
      <c r="H36" s="11" t="s">
        <v>100</v>
      </c>
      <c r="I36" s="11" t="s">
        <v>102</v>
      </c>
      <c r="J36" s="11" t="s">
        <v>469</v>
      </c>
      <c r="K36" s="16">
        <v>89</v>
      </c>
      <c r="L36" s="11">
        <v>2019</v>
      </c>
      <c r="M36" s="14">
        <f>30412*K36-38927.36</f>
        <v>2667740.64</v>
      </c>
      <c r="N36" s="14">
        <v>2667740.64</v>
      </c>
      <c r="O36" s="14">
        <v>2667740.64</v>
      </c>
      <c r="P36" s="56">
        <f t="shared" si="2"/>
        <v>1</v>
      </c>
    </row>
    <row r="37" spans="1:16" s="35" customFormat="1" ht="46.8" x14ac:dyDescent="0.25">
      <c r="A37" s="40" t="s">
        <v>620</v>
      </c>
      <c r="B37" s="41" t="s">
        <v>61</v>
      </c>
      <c r="C37" s="41" t="s">
        <v>13</v>
      </c>
      <c r="D37" s="41" t="s">
        <v>96</v>
      </c>
      <c r="E37" s="41" t="s">
        <v>98</v>
      </c>
      <c r="F37" s="41" t="s">
        <v>65</v>
      </c>
      <c r="G37" s="41" t="s">
        <v>71</v>
      </c>
      <c r="H37" s="41" t="s">
        <v>100</v>
      </c>
      <c r="I37" s="41" t="s">
        <v>102</v>
      </c>
      <c r="K37" s="41"/>
      <c r="M37" s="42">
        <f>SUM(M38:M42)</f>
        <v>9038446.3999999985</v>
      </c>
      <c r="N37" s="42">
        <f t="shared" ref="N37:O37" si="10">SUM(N38:N42)</f>
        <v>9038446.4000000022</v>
      </c>
      <c r="O37" s="42">
        <f t="shared" si="10"/>
        <v>9038446.4000000022</v>
      </c>
      <c r="P37" s="55">
        <f t="shared" si="2"/>
        <v>1.0000000000000004</v>
      </c>
    </row>
    <row r="38" spans="1:16" ht="31.2" x14ac:dyDescent="0.25">
      <c r="A38" s="13" t="s">
        <v>504</v>
      </c>
      <c r="B38" s="11" t="s">
        <v>61</v>
      </c>
      <c r="C38" s="11" t="s">
        <v>13</v>
      </c>
      <c r="D38" s="11" t="s">
        <v>96</v>
      </c>
      <c r="E38" s="11" t="s">
        <v>98</v>
      </c>
      <c r="F38" s="11" t="s">
        <v>65</v>
      </c>
      <c r="G38" s="11" t="s">
        <v>71</v>
      </c>
      <c r="H38" s="11" t="s">
        <v>100</v>
      </c>
      <c r="I38" s="11" t="s">
        <v>102</v>
      </c>
      <c r="J38" s="11" t="s">
        <v>469</v>
      </c>
      <c r="K38" s="11">
        <v>36.9</v>
      </c>
      <c r="L38" s="11">
        <v>2019</v>
      </c>
      <c r="M38" s="14">
        <f>30412*K38</f>
        <v>1122202.8</v>
      </c>
      <c r="N38" s="14">
        <v>1122202.8</v>
      </c>
      <c r="O38" s="14">
        <v>1122202.8</v>
      </c>
      <c r="P38" s="56">
        <f t="shared" si="2"/>
        <v>1</v>
      </c>
    </row>
    <row r="39" spans="1:16" ht="31.2" x14ac:dyDescent="0.25">
      <c r="A39" s="13" t="s">
        <v>504</v>
      </c>
      <c r="B39" s="11" t="s">
        <v>61</v>
      </c>
      <c r="C39" s="11" t="s">
        <v>13</v>
      </c>
      <c r="D39" s="11" t="s">
        <v>96</v>
      </c>
      <c r="E39" s="11" t="s">
        <v>98</v>
      </c>
      <c r="F39" s="11" t="s">
        <v>65</v>
      </c>
      <c r="G39" s="11" t="s">
        <v>71</v>
      </c>
      <c r="H39" s="11" t="s">
        <v>100</v>
      </c>
      <c r="I39" s="11" t="s">
        <v>102</v>
      </c>
      <c r="J39" s="11" t="s">
        <v>469</v>
      </c>
      <c r="K39" s="11">
        <v>37.200000000000003</v>
      </c>
      <c r="L39" s="11">
        <v>2019</v>
      </c>
      <c r="M39" s="14">
        <f>30412*K39</f>
        <v>1131326.4000000001</v>
      </c>
      <c r="N39" s="14">
        <v>1131326.3999999999</v>
      </c>
      <c r="O39" s="14">
        <v>1131326.3999999999</v>
      </c>
      <c r="P39" s="56">
        <f t="shared" si="2"/>
        <v>0.99999999999999978</v>
      </c>
    </row>
    <row r="40" spans="1:16" ht="31.2" x14ac:dyDescent="0.25">
      <c r="A40" s="13" t="s">
        <v>505</v>
      </c>
      <c r="B40" s="11" t="s">
        <v>61</v>
      </c>
      <c r="C40" s="11" t="s">
        <v>13</v>
      </c>
      <c r="D40" s="11" t="s">
        <v>96</v>
      </c>
      <c r="E40" s="11" t="s">
        <v>98</v>
      </c>
      <c r="F40" s="11" t="s">
        <v>65</v>
      </c>
      <c r="G40" s="11" t="s">
        <v>71</v>
      </c>
      <c r="H40" s="11" t="s">
        <v>100</v>
      </c>
      <c r="I40" s="11" t="s">
        <v>102</v>
      </c>
      <c r="J40" s="11" t="s">
        <v>469</v>
      </c>
      <c r="K40" s="11">
        <v>65.3</v>
      </c>
      <c r="L40" s="11">
        <v>2019</v>
      </c>
      <c r="M40" s="14">
        <f>30412*K40</f>
        <v>1985903.5999999999</v>
      </c>
      <c r="N40" s="14">
        <v>1985903.6</v>
      </c>
      <c r="O40" s="14">
        <v>1985903.6</v>
      </c>
      <c r="P40" s="56">
        <f t="shared" si="2"/>
        <v>1.0000000000000002</v>
      </c>
    </row>
    <row r="41" spans="1:16" ht="31.2" x14ac:dyDescent="0.25">
      <c r="A41" s="13" t="s">
        <v>506</v>
      </c>
      <c r="B41" s="11" t="s">
        <v>61</v>
      </c>
      <c r="C41" s="11" t="s">
        <v>13</v>
      </c>
      <c r="D41" s="11" t="s">
        <v>96</v>
      </c>
      <c r="E41" s="11" t="s">
        <v>98</v>
      </c>
      <c r="F41" s="11" t="s">
        <v>65</v>
      </c>
      <c r="G41" s="11" t="s">
        <v>71</v>
      </c>
      <c r="H41" s="11" t="s">
        <v>100</v>
      </c>
      <c r="I41" s="11" t="s">
        <v>102</v>
      </c>
      <c r="J41" s="11" t="s">
        <v>469</v>
      </c>
      <c r="K41" s="11">
        <v>72.2</v>
      </c>
      <c r="L41" s="11">
        <v>2019</v>
      </c>
      <c r="M41" s="14">
        <f>30412*K41</f>
        <v>2195746.4</v>
      </c>
      <c r="N41" s="14">
        <v>2195746.4</v>
      </c>
      <c r="O41" s="14">
        <v>2195746.4</v>
      </c>
      <c r="P41" s="56">
        <f t="shared" si="2"/>
        <v>1</v>
      </c>
    </row>
    <row r="42" spans="1:16" ht="31.2" x14ac:dyDescent="0.25">
      <c r="A42" s="13" t="s">
        <v>506</v>
      </c>
      <c r="B42" s="11" t="s">
        <v>61</v>
      </c>
      <c r="C42" s="11" t="s">
        <v>13</v>
      </c>
      <c r="D42" s="11" t="s">
        <v>96</v>
      </c>
      <c r="E42" s="11" t="s">
        <v>98</v>
      </c>
      <c r="F42" s="11" t="s">
        <v>65</v>
      </c>
      <c r="G42" s="11" t="s">
        <v>71</v>
      </c>
      <c r="H42" s="11" t="s">
        <v>100</v>
      </c>
      <c r="I42" s="11" t="s">
        <v>102</v>
      </c>
      <c r="J42" s="11" t="s">
        <v>469</v>
      </c>
      <c r="K42" s="11">
        <v>85.6</v>
      </c>
      <c r="L42" s="11">
        <v>2019</v>
      </c>
      <c r="M42" s="14">
        <f>30412*K42</f>
        <v>2603267.1999999997</v>
      </c>
      <c r="N42" s="14">
        <v>2603267.2000000002</v>
      </c>
      <c r="O42" s="14">
        <v>2603267.2000000002</v>
      </c>
      <c r="P42" s="56">
        <f t="shared" si="2"/>
        <v>1.0000000000000002</v>
      </c>
    </row>
    <row r="43" spans="1:16" s="35" customFormat="1" ht="46.8" x14ac:dyDescent="0.25">
      <c r="A43" s="37" t="s">
        <v>619</v>
      </c>
      <c r="B43" s="41" t="s">
        <v>61</v>
      </c>
      <c r="C43" s="41" t="s">
        <v>13</v>
      </c>
      <c r="D43" s="41" t="s">
        <v>96</v>
      </c>
      <c r="E43" s="41" t="s">
        <v>98</v>
      </c>
      <c r="F43" s="41" t="s">
        <v>65</v>
      </c>
      <c r="G43" s="41" t="s">
        <v>71</v>
      </c>
      <c r="H43" s="41" t="s">
        <v>100</v>
      </c>
      <c r="I43" s="41">
        <v>461</v>
      </c>
      <c r="J43" s="41"/>
      <c r="K43" s="41"/>
      <c r="L43" s="41"/>
      <c r="M43" s="42">
        <f>SUM(M44:M47)</f>
        <v>6453426.4000000004</v>
      </c>
      <c r="N43" s="42">
        <f t="shared" ref="N43:O43" si="11">SUM(N44:N47)</f>
        <v>6453426.4000000004</v>
      </c>
      <c r="O43" s="42">
        <f t="shared" si="11"/>
        <v>6453426.4000000004</v>
      </c>
      <c r="P43" s="55">
        <f t="shared" si="2"/>
        <v>1</v>
      </c>
    </row>
    <row r="44" spans="1:16" ht="31.2" x14ac:dyDescent="0.25">
      <c r="A44" s="13" t="s">
        <v>504</v>
      </c>
      <c r="B44" s="11" t="s">
        <v>61</v>
      </c>
      <c r="C44" s="11" t="s">
        <v>13</v>
      </c>
      <c r="D44" s="11" t="s">
        <v>96</v>
      </c>
      <c r="E44" s="11" t="s">
        <v>98</v>
      </c>
      <c r="F44" s="11" t="s">
        <v>65</v>
      </c>
      <c r="G44" s="11" t="s">
        <v>71</v>
      </c>
      <c r="H44" s="11" t="s">
        <v>100</v>
      </c>
      <c r="I44" s="11">
        <v>461</v>
      </c>
      <c r="J44" s="11" t="s">
        <v>469</v>
      </c>
      <c r="K44" s="11">
        <v>41.3</v>
      </c>
      <c r="L44" s="11">
        <v>2019</v>
      </c>
      <c r="M44" s="14">
        <f>30412*K44</f>
        <v>1256015.5999999999</v>
      </c>
      <c r="N44" s="14">
        <v>1256015.6000000001</v>
      </c>
      <c r="O44" s="14">
        <v>1256015.6000000001</v>
      </c>
      <c r="P44" s="56">
        <f t="shared" si="2"/>
        <v>1.0000000000000002</v>
      </c>
    </row>
    <row r="45" spans="1:16" ht="31.2" x14ac:dyDescent="0.25">
      <c r="A45" s="13" t="s">
        <v>504</v>
      </c>
      <c r="B45" s="11" t="s">
        <v>61</v>
      </c>
      <c r="C45" s="11" t="s">
        <v>13</v>
      </c>
      <c r="D45" s="11" t="s">
        <v>96</v>
      </c>
      <c r="E45" s="11" t="s">
        <v>98</v>
      </c>
      <c r="F45" s="11" t="s">
        <v>65</v>
      </c>
      <c r="G45" s="11" t="s">
        <v>71</v>
      </c>
      <c r="H45" s="11" t="s">
        <v>100</v>
      </c>
      <c r="I45" s="11">
        <v>461</v>
      </c>
      <c r="J45" s="11" t="s">
        <v>469</v>
      </c>
      <c r="K45" s="11">
        <v>42.7</v>
      </c>
      <c r="L45" s="11">
        <v>2019</v>
      </c>
      <c r="M45" s="14">
        <f>30412*K45</f>
        <v>1298592.4000000001</v>
      </c>
      <c r="N45" s="14">
        <v>1298592.3999999999</v>
      </c>
      <c r="O45" s="14">
        <v>1298592.3999999999</v>
      </c>
      <c r="P45" s="56">
        <f t="shared" si="2"/>
        <v>0.99999999999999978</v>
      </c>
    </row>
    <row r="46" spans="1:16" ht="31.2" x14ac:dyDescent="0.25">
      <c r="A46" s="13" t="s">
        <v>504</v>
      </c>
      <c r="B46" s="11" t="s">
        <v>61</v>
      </c>
      <c r="C46" s="11" t="s">
        <v>13</v>
      </c>
      <c r="D46" s="11" t="s">
        <v>96</v>
      </c>
      <c r="E46" s="11" t="s">
        <v>98</v>
      </c>
      <c r="F46" s="11" t="s">
        <v>65</v>
      </c>
      <c r="G46" s="11" t="s">
        <v>71</v>
      </c>
      <c r="H46" s="11" t="s">
        <v>100</v>
      </c>
      <c r="I46" s="11">
        <v>461</v>
      </c>
      <c r="J46" s="11" t="s">
        <v>469</v>
      </c>
      <c r="K46" s="11">
        <v>42.9</v>
      </c>
      <c r="L46" s="11">
        <v>2019</v>
      </c>
      <c r="M46" s="14">
        <f>30412*K46</f>
        <v>1304674.8</v>
      </c>
      <c r="N46" s="14">
        <v>1304674.8</v>
      </c>
      <c r="O46" s="14">
        <v>1304674.8</v>
      </c>
      <c r="P46" s="56">
        <f t="shared" si="2"/>
        <v>1</v>
      </c>
    </row>
    <row r="47" spans="1:16" ht="31.2" x14ac:dyDescent="0.25">
      <c r="A47" s="13" t="s">
        <v>506</v>
      </c>
      <c r="B47" s="11" t="s">
        <v>61</v>
      </c>
      <c r="C47" s="11" t="s">
        <v>13</v>
      </c>
      <c r="D47" s="11" t="s">
        <v>96</v>
      </c>
      <c r="E47" s="11" t="s">
        <v>98</v>
      </c>
      <c r="F47" s="11" t="s">
        <v>65</v>
      </c>
      <c r="G47" s="11" t="s">
        <v>71</v>
      </c>
      <c r="H47" s="11" t="s">
        <v>100</v>
      </c>
      <c r="I47" s="11">
        <v>461</v>
      </c>
      <c r="J47" s="11" t="s">
        <v>469</v>
      </c>
      <c r="K47" s="11">
        <v>85.3</v>
      </c>
      <c r="L47" s="11">
        <v>2019</v>
      </c>
      <c r="M47" s="14">
        <f>30412*K47</f>
        <v>2594143.6</v>
      </c>
      <c r="N47" s="14">
        <v>2594143.6</v>
      </c>
      <c r="O47" s="14">
        <v>2594143.6</v>
      </c>
      <c r="P47" s="56">
        <f t="shared" si="2"/>
        <v>1</v>
      </c>
    </row>
    <row r="48" spans="1:16" s="35" customFormat="1" ht="72" customHeight="1" x14ac:dyDescent="0.25">
      <c r="A48" s="40" t="s">
        <v>618</v>
      </c>
      <c r="B48" s="41" t="s">
        <v>61</v>
      </c>
      <c r="C48" s="41" t="s">
        <v>13</v>
      </c>
      <c r="D48" s="41" t="s">
        <v>96</v>
      </c>
      <c r="E48" s="41" t="s">
        <v>98</v>
      </c>
      <c r="F48" s="41" t="s">
        <v>65</v>
      </c>
      <c r="G48" s="41" t="s">
        <v>71</v>
      </c>
      <c r="H48" s="41" t="s">
        <v>100</v>
      </c>
      <c r="I48" s="41">
        <v>461</v>
      </c>
      <c r="J48" s="41"/>
      <c r="K48" s="41"/>
      <c r="L48" s="41"/>
      <c r="M48" s="42">
        <f>M49</f>
        <v>2606308.4</v>
      </c>
      <c r="N48" s="42">
        <f t="shared" ref="N48:O48" si="12">N49</f>
        <v>2606308.4</v>
      </c>
      <c r="O48" s="42">
        <f t="shared" si="12"/>
        <v>2606308.4</v>
      </c>
      <c r="P48" s="55">
        <f t="shared" si="2"/>
        <v>1</v>
      </c>
    </row>
    <row r="49" spans="1:16" ht="31.2" x14ac:dyDescent="0.25">
      <c r="A49" s="13" t="s">
        <v>506</v>
      </c>
      <c r="B49" s="11" t="s">
        <v>61</v>
      </c>
      <c r="C49" s="11" t="s">
        <v>13</v>
      </c>
      <c r="D49" s="11" t="s">
        <v>96</v>
      </c>
      <c r="E49" s="11" t="s">
        <v>98</v>
      </c>
      <c r="F49" s="11" t="s">
        <v>65</v>
      </c>
      <c r="G49" s="11" t="s">
        <v>71</v>
      </c>
      <c r="H49" s="11" t="s">
        <v>100</v>
      </c>
      <c r="I49" s="11">
        <v>461</v>
      </c>
      <c r="J49" s="11" t="s">
        <v>469</v>
      </c>
      <c r="K49" s="11">
        <v>85.7</v>
      </c>
      <c r="L49" s="11">
        <v>2019</v>
      </c>
      <c r="M49" s="14">
        <f>30412*K49</f>
        <v>2606308.4</v>
      </c>
      <c r="N49" s="14">
        <v>2606308.4</v>
      </c>
      <c r="O49" s="14">
        <v>2606308.4</v>
      </c>
      <c r="P49" s="56">
        <f t="shared" si="2"/>
        <v>1</v>
      </c>
    </row>
    <row r="50" spans="1:16" s="35" customFormat="1" ht="68.25" customHeight="1" x14ac:dyDescent="0.25">
      <c r="A50" s="40" t="s">
        <v>573</v>
      </c>
      <c r="B50" s="41" t="s">
        <v>61</v>
      </c>
      <c r="C50" s="41" t="s">
        <v>13</v>
      </c>
      <c r="D50" s="41" t="s">
        <v>96</v>
      </c>
      <c r="E50" s="41" t="s">
        <v>98</v>
      </c>
      <c r="F50" s="41" t="s">
        <v>65</v>
      </c>
      <c r="G50" s="41" t="s">
        <v>71</v>
      </c>
      <c r="H50" s="41" t="s">
        <v>100</v>
      </c>
      <c r="I50" s="41">
        <v>461</v>
      </c>
      <c r="J50" s="41"/>
      <c r="K50" s="41"/>
      <c r="L50" s="41"/>
      <c r="M50" s="42">
        <f>SUM(M51:M51)</f>
        <v>2600226</v>
      </c>
      <c r="N50" s="42">
        <f t="shared" ref="N50:O50" si="13">SUM(N51:N51)</f>
        <v>2600226</v>
      </c>
      <c r="O50" s="42">
        <f t="shared" si="13"/>
        <v>2600226</v>
      </c>
      <c r="P50" s="55">
        <f t="shared" si="2"/>
        <v>1</v>
      </c>
    </row>
    <row r="51" spans="1:16" ht="32.25" customHeight="1" x14ac:dyDescent="0.25">
      <c r="A51" s="13" t="s">
        <v>506</v>
      </c>
      <c r="B51" s="11" t="s">
        <v>61</v>
      </c>
      <c r="C51" s="11" t="s">
        <v>13</v>
      </c>
      <c r="D51" s="11" t="s">
        <v>96</v>
      </c>
      <c r="E51" s="11" t="s">
        <v>98</v>
      </c>
      <c r="F51" s="11" t="s">
        <v>65</v>
      </c>
      <c r="G51" s="11" t="s">
        <v>71</v>
      </c>
      <c r="H51" s="11" t="s">
        <v>100</v>
      </c>
      <c r="I51" s="11" t="s">
        <v>102</v>
      </c>
      <c r="J51" s="11" t="s">
        <v>469</v>
      </c>
      <c r="K51" s="11">
        <v>85.5</v>
      </c>
      <c r="L51" s="11">
        <v>2019</v>
      </c>
      <c r="M51" s="14">
        <f>30412*K51</f>
        <v>2600226</v>
      </c>
      <c r="N51" s="14">
        <v>2600226</v>
      </c>
      <c r="O51" s="14">
        <v>2600226</v>
      </c>
      <c r="P51" s="56">
        <f t="shared" si="2"/>
        <v>1</v>
      </c>
    </row>
    <row r="52" spans="1:16" s="35" customFormat="1" ht="63.75" customHeight="1" x14ac:dyDescent="0.25">
      <c r="A52" s="40" t="s">
        <v>617</v>
      </c>
      <c r="B52" s="41" t="s">
        <v>61</v>
      </c>
      <c r="C52" s="41" t="s">
        <v>13</v>
      </c>
      <c r="D52" s="41" t="s">
        <v>96</v>
      </c>
      <c r="E52" s="41" t="s">
        <v>98</v>
      </c>
      <c r="F52" s="41" t="s">
        <v>65</v>
      </c>
      <c r="G52" s="41" t="s">
        <v>71</v>
      </c>
      <c r="H52" s="41" t="s">
        <v>100</v>
      </c>
      <c r="I52" s="41" t="s">
        <v>102</v>
      </c>
      <c r="J52" s="41"/>
      <c r="K52" s="41"/>
      <c r="L52" s="41"/>
      <c r="M52" s="42">
        <f>SUM(M53:M56)</f>
        <v>7213726.4000000004</v>
      </c>
      <c r="N52" s="42">
        <f t="shared" ref="N52:O52" si="14">SUM(N53:N56)</f>
        <v>7213726.4000000004</v>
      </c>
      <c r="O52" s="42">
        <f t="shared" si="14"/>
        <v>7213726.4000000004</v>
      </c>
      <c r="P52" s="55">
        <f t="shared" si="2"/>
        <v>1</v>
      </c>
    </row>
    <row r="53" spans="1:16" ht="31.2" x14ac:dyDescent="0.25">
      <c r="A53" s="13" t="s">
        <v>504</v>
      </c>
      <c r="B53" s="11" t="s">
        <v>61</v>
      </c>
      <c r="C53" s="11" t="s">
        <v>13</v>
      </c>
      <c r="D53" s="11" t="s">
        <v>96</v>
      </c>
      <c r="E53" s="11" t="s">
        <v>98</v>
      </c>
      <c r="F53" s="11" t="s">
        <v>65</v>
      </c>
      <c r="G53" s="11" t="s">
        <v>71</v>
      </c>
      <c r="H53" s="11" t="s">
        <v>100</v>
      </c>
      <c r="I53" s="11" t="s">
        <v>102</v>
      </c>
      <c r="J53" s="11" t="s">
        <v>469</v>
      </c>
      <c r="K53" s="11">
        <v>37.1</v>
      </c>
      <c r="L53" s="11">
        <v>2019</v>
      </c>
      <c r="M53" s="14">
        <f>30412*K53</f>
        <v>1128285.2</v>
      </c>
      <c r="N53" s="14">
        <v>1128285.2</v>
      </c>
      <c r="O53" s="14">
        <v>1128285.2</v>
      </c>
      <c r="P53" s="56">
        <f t="shared" si="2"/>
        <v>1</v>
      </c>
    </row>
    <row r="54" spans="1:16" ht="31.2" x14ac:dyDescent="0.25">
      <c r="A54" s="13" t="s">
        <v>504</v>
      </c>
      <c r="B54" s="11" t="s">
        <v>61</v>
      </c>
      <c r="C54" s="11" t="s">
        <v>13</v>
      </c>
      <c r="D54" s="11" t="s">
        <v>96</v>
      </c>
      <c r="E54" s="11" t="s">
        <v>98</v>
      </c>
      <c r="F54" s="11" t="s">
        <v>65</v>
      </c>
      <c r="G54" s="11" t="s">
        <v>71</v>
      </c>
      <c r="H54" s="11" t="s">
        <v>100</v>
      </c>
      <c r="I54" s="11" t="s">
        <v>102</v>
      </c>
      <c r="J54" s="11" t="s">
        <v>469</v>
      </c>
      <c r="K54" s="11">
        <v>41.5</v>
      </c>
      <c r="L54" s="11">
        <v>2019</v>
      </c>
      <c r="M54" s="14">
        <f>30412*K54</f>
        <v>1262098</v>
      </c>
      <c r="N54" s="14">
        <v>1262098</v>
      </c>
      <c r="O54" s="14">
        <v>1262098</v>
      </c>
      <c r="P54" s="56">
        <f t="shared" si="2"/>
        <v>1</v>
      </c>
    </row>
    <row r="55" spans="1:16" ht="31.2" x14ac:dyDescent="0.25">
      <c r="A55" s="13" t="s">
        <v>506</v>
      </c>
      <c r="B55" s="11" t="s">
        <v>61</v>
      </c>
      <c r="C55" s="11" t="s">
        <v>13</v>
      </c>
      <c r="D55" s="11" t="s">
        <v>96</v>
      </c>
      <c r="E55" s="11" t="s">
        <v>98</v>
      </c>
      <c r="F55" s="11" t="s">
        <v>65</v>
      </c>
      <c r="G55" s="11" t="s">
        <v>71</v>
      </c>
      <c r="H55" s="11" t="s">
        <v>100</v>
      </c>
      <c r="I55" s="11" t="s">
        <v>102</v>
      </c>
      <c r="J55" s="11" t="s">
        <v>469</v>
      </c>
      <c r="K55" s="11">
        <v>72.599999999999994</v>
      </c>
      <c r="L55" s="11">
        <v>2019</v>
      </c>
      <c r="M55" s="14">
        <f>30412*K55</f>
        <v>2207911.1999999997</v>
      </c>
      <c r="N55" s="14">
        <v>2207911.2000000002</v>
      </c>
      <c r="O55" s="14">
        <v>2207911.2000000002</v>
      </c>
      <c r="P55" s="56">
        <f t="shared" si="2"/>
        <v>1.0000000000000002</v>
      </c>
    </row>
    <row r="56" spans="1:16" ht="31.2" x14ac:dyDescent="0.25">
      <c r="A56" s="13" t="s">
        <v>506</v>
      </c>
      <c r="B56" s="11" t="s">
        <v>61</v>
      </c>
      <c r="C56" s="11" t="s">
        <v>13</v>
      </c>
      <c r="D56" s="11" t="s">
        <v>96</v>
      </c>
      <c r="E56" s="11" t="s">
        <v>98</v>
      </c>
      <c r="F56" s="11" t="s">
        <v>65</v>
      </c>
      <c r="G56" s="11" t="s">
        <v>71</v>
      </c>
      <c r="H56" s="11" t="s">
        <v>100</v>
      </c>
      <c r="I56" s="11" t="s">
        <v>102</v>
      </c>
      <c r="J56" s="11" t="s">
        <v>469</v>
      </c>
      <c r="K56" s="16">
        <v>86</v>
      </c>
      <c r="L56" s="11">
        <v>2019</v>
      </c>
      <c r="M56" s="14">
        <f>30412*K56</f>
        <v>2615432</v>
      </c>
      <c r="N56" s="14">
        <v>2615432</v>
      </c>
      <c r="O56" s="14">
        <v>2615432</v>
      </c>
      <c r="P56" s="56">
        <f t="shared" si="2"/>
        <v>1</v>
      </c>
    </row>
    <row r="57" spans="1:16" s="35" customFormat="1" ht="46.8" x14ac:dyDescent="0.25">
      <c r="A57" s="40" t="s">
        <v>616</v>
      </c>
      <c r="B57" s="41" t="s">
        <v>61</v>
      </c>
      <c r="C57" s="41" t="s">
        <v>13</v>
      </c>
      <c r="D57" s="41" t="s">
        <v>96</v>
      </c>
      <c r="E57" s="41" t="s">
        <v>98</v>
      </c>
      <c r="F57" s="41" t="s">
        <v>65</v>
      </c>
      <c r="G57" s="41" t="s">
        <v>71</v>
      </c>
      <c r="H57" s="41" t="s">
        <v>100</v>
      </c>
      <c r="I57" s="41" t="s">
        <v>102</v>
      </c>
      <c r="J57" s="41"/>
      <c r="K57" s="41"/>
      <c r="L57" s="41"/>
      <c r="M57" s="42">
        <f>SUM(M58:M70)</f>
        <v>22255501.599999998</v>
      </c>
      <c r="N57" s="42">
        <f t="shared" ref="N57:O57" si="15">SUM(N58:N70)</f>
        <v>22255501.599999998</v>
      </c>
      <c r="O57" s="42">
        <f t="shared" si="15"/>
        <v>22255501.599999998</v>
      </c>
      <c r="P57" s="55">
        <f t="shared" si="2"/>
        <v>1</v>
      </c>
    </row>
    <row r="58" spans="1:16" ht="31.2" x14ac:dyDescent="0.25">
      <c r="A58" s="13" t="s">
        <v>471</v>
      </c>
      <c r="B58" s="11" t="s">
        <v>61</v>
      </c>
      <c r="C58" s="11" t="s">
        <v>13</v>
      </c>
      <c r="D58" s="11" t="s">
        <v>96</v>
      </c>
      <c r="E58" s="11" t="s">
        <v>98</v>
      </c>
      <c r="F58" s="11" t="s">
        <v>65</v>
      </c>
      <c r="G58" s="11" t="s">
        <v>71</v>
      </c>
      <c r="H58" s="11" t="s">
        <v>100</v>
      </c>
      <c r="I58" s="11" t="s">
        <v>102</v>
      </c>
      <c r="J58" s="11" t="s">
        <v>469</v>
      </c>
      <c r="K58" s="11">
        <v>39.700000000000003</v>
      </c>
      <c r="L58" s="11">
        <v>2019</v>
      </c>
      <c r="M58" s="14">
        <f t="shared" ref="M58:M82" si="16">30412*K58</f>
        <v>1207356.4000000001</v>
      </c>
      <c r="N58" s="14">
        <v>1207356.3999999999</v>
      </c>
      <c r="O58" s="14">
        <v>1207356.3999999999</v>
      </c>
      <c r="P58" s="56">
        <f t="shared" si="2"/>
        <v>0.99999999999999978</v>
      </c>
    </row>
    <row r="59" spans="1:16" ht="31.2" x14ac:dyDescent="0.25">
      <c r="A59" s="13" t="s">
        <v>473</v>
      </c>
      <c r="B59" s="11" t="s">
        <v>61</v>
      </c>
      <c r="C59" s="11" t="s">
        <v>13</v>
      </c>
      <c r="D59" s="11" t="s">
        <v>96</v>
      </c>
      <c r="E59" s="11" t="s">
        <v>98</v>
      </c>
      <c r="F59" s="11" t="s">
        <v>65</v>
      </c>
      <c r="G59" s="11" t="s">
        <v>71</v>
      </c>
      <c r="H59" s="11" t="s">
        <v>100</v>
      </c>
      <c r="I59" s="11" t="s">
        <v>102</v>
      </c>
      <c r="J59" s="11" t="s">
        <v>469</v>
      </c>
      <c r="K59" s="11">
        <v>48.3</v>
      </c>
      <c r="L59" s="11">
        <v>2019</v>
      </c>
      <c r="M59" s="14">
        <f t="shared" si="16"/>
        <v>1468899.5999999999</v>
      </c>
      <c r="N59" s="14">
        <v>1468899.6</v>
      </c>
      <c r="O59" s="14">
        <v>1468899.6</v>
      </c>
      <c r="P59" s="56">
        <f t="shared" si="2"/>
        <v>1.0000000000000002</v>
      </c>
    </row>
    <row r="60" spans="1:16" ht="31.2" x14ac:dyDescent="0.25">
      <c r="A60" s="13" t="s">
        <v>473</v>
      </c>
      <c r="B60" s="11" t="s">
        <v>61</v>
      </c>
      <c r="C60" s="11" t="s">
        <v>13</v>
      </c>
      <c r="D60" s="11" t="s">
        <v>96</v>
      </c>
      <c r="E60" s="11" t="s">
        <v>98</v>
      </c>
      <c r="F60" s="11" t="s">
        <v>65</v>
      </c>
      <c r="G60" s="11" t="s">
        <v>71</v>
      </c>
      <c r="H60" s="11" t="s">
        <v>100</v>
      </c>
      <c r="I60" s="11" t="s">
        <v>102</v>
      </c>
      <c r="J60" s="11" t="s">
        <v>469</v>
      </c>
      <c r="K60" s="11">
        <v>48.7</v>
      </c>
      <c r="L60" s="11">
        <v>2019</v>
      </c>
      <c r="M60" s="14">
        <f t="shared" si="16"/>
        <v>1481064.4000000001</v>
      </c>
      <c r="N60" s="14">
        <v>1481064.4</v>
      </c>
      <c r="O60" s="14">
        <v>1481064.4</v>
      </c>
      <c r="P60" s="56">
        <f t="shared" si="2"/>
        <v>0.99999999999999989</v>
      </c>
    </row>
    <row r="61" spans="1:16" ht="31.2" x14ac:dyDescent="0.25">
      <c r="A61" s="13" t="s">
        <v>473</v>
      </c>
      <c r="B61" s="11" t="s">
        <v>61</v>
      </c>
      <c r="C61" s="11" t="s">
        <v>13</v>
      </c>
      <c r="D61" s="11" t="s">
        <v>96</v>
      </c>
      <c r="E61" s="11" t="s">
        <v>98</v>
      </c>
      <c r="F61" s="11" t="s">
        <v>65</v>
      </c>
      <c r="G61" s="11" t="s">
        <v>71</v>
      </c>
      <c r="H61" s="11" t="s">
        <v>100</v>
      </c>
      <c r="I61" s="11" t="s">
        <v>102</v>
      </c>
      <c r="J61" s="11" t="s">
        <v>469</v>
      </c>
      <c r="K61" s="11">
        <v>48.8</v>
      </c>
      <c r="L61" s="11">
        <v>2019</v>
      </c>
      <c r="M61" s="14">
        <f t="shared" si="16"/>
        <v>1484105.5999999999</v>
      </c>
      <c r="N61" s="14">
        <v>1484105.6</v>
      </c>
      <c r="O61" s="14">
        <v>1484105.6</v>
      </c>
      <c r="P61" s="56">
        <f t="shared" si="2"/>
        <v>1.0000000000000002</v>
      </c>
    </row>
    <row r="62" spans="1:16" ht="31.2" x14ac:dyDescent="0.25">
      <c r="A62" s="13" t="s">
        <v>472</v>
      </c>
      <c r="B62" s="11" t="s">
        <v>61</v>
      </c>
      <c r="C62" s="11" t="s">
        <v>13</v>
      </c>
      <c r="D62" s="11" t="s">
        <v>96</v>
      </c>
      <c r="E62" s="11" t="s">
        <v>98</v>
      </c>
      <c r="F62" s="11" t="s">
        <v>65</v>
      </c>
      <c r="G62" s="11" t="s">
        <v>71</v>
      </c>
      <c r="H62" s="11" t="s">
        <v>100</v>
      </c>
      <c r="I62" s="11" t="s">
        <v>102</v>
      </c>
      <c r="J62" s="11" t="s">
        <v>469</v>
      </c>
      <c r="K62" s="11">
        <v>50.2</v>
      </c>
      <c r="L62" s="11">
        <v>2019</v>
      </c>
      <c r="M62" s="14">
        <f t="shared" si="16"/>
        <v>1526682.4000000001</v>
      </c>
      <c r="N62" s="14">
        <v>1526682.4</v>
      </c>
      <c r="O62" s="14">
        <v>1526682.4</v>
      </c>
      <c r="P62" s="56">
        <f t="shared" si="2"/>
        <v>0.99999999999999989</v>
      </c>
    </row>
    <row r="63" spans="1:16" ht="31.2" x14ac:dyDescent="0.25">
      <c r="A63" s="13" t="s">
        <v>472</v>
      </c>
      <c r="B63" s="11" t="s">
        <v>61</v>
      </c>
      <c r="C63" s="11" t="s">
        <v>13</v>
      </c>
      <c r="D63" s="11" t="s">
        <v>96</v>
      </c>
      <c r="E63" s="11" t="s">
        <v>98</v>
      </c>
      <c r="F63" s="11" t="s">
        <v>65</v>
      </c>
      <c r="G63" s="11" t="s">
        <v>71</v>
      </c>
      <c r="H63" s="11" t="s">
        <v>100</v>
      </c>
      <c r="I63" s="11" t="s">
        <v>102</v>
      </c>
      <c r="J63" s="11" t="s">
        <v>469</v>
      </c>
      <c r="K63" s="11">
        <v>50.3</v>
      </c>
      <c r="L63" s="11">
        <v>2019</v>
      </c>
      <c r="M63" s="14">
        <f t="shared" si="16"/>
        <v>1529723.5999999999</v>
      </c>
      <c r="N63" s="14">
        <v>1529723.6</v>
      </c>
      <c r="O63" s="14">
        <v>1529723.6</v>
      </c>
      <c r="P63" s="56">
        <f t="shared" si="2"/>
        <v>1.0000000000000002</v>
      </c>
    </row>
    <row r="64" spans="1:16" ht="31.2" x14ac:dyDescent="0.25">
      <c r="A64" s="13" t="s">
        <v>472</v>
      </c>
      <c r="B64" s="11" t="s">
        <v>61</v>
      </c>
      <c r="C64" s="11" t="s">
        <v>13</v>
      </c>
      <c r="D64" s="11" t="s">
        <v>96</v>
      </c>
      <c r="E64" s="11" t="s">
        <v>98</v>
      </c>
      <c r="F64" s="11" t="s">
        <v>65</v>
      </c>
      <c r="G64" s="11" t="s">
        <v>71</v>
      </c>
      <c r="H64" s="11" t="s">
        <v>100</v>
      </c>
      <c r="I64" s="11" t="s">
        <v>102</v>
      </c>
      <c r="J64" s="11" t="s">
        <v>469</v>
      </c>
      <c r="K64" s="11">
        <v>50.4</v>
      </c>
      <c r="L64" s="11">
        <v>2019</v>
      </c>
      <c r="M64" s="14">
        <f t="shared" si="16"/>
        <v>1532764.8</v>
      </c>
      <c r="N64" s="14">
        <v>1532764.8</v>
      </c>
      <c r="O64" s="14">
        <v>1532764.8</v>
      </c>
      <c r="P64" s="56">
        <f t="shared" si="2"/>
        <v>1</v>
      </c>
    </row>
    <row r="65" spans="1:16" ht="31.2" x14ac:dyDescent="0.25">
      <c r="A65" s="13" t="s">
        <v>473</v>
      </c>
      <c r="B65" s="11" t="s">
        <v>61</v>
      </c>
      <c r="C65" s="11" t="s">
        <v>13</v>
      </c>
      <c r="D65" s="11" t="s">
        <v>96</v>
      </c>
      <c r="E65" s="11" t="s">
        <v>98</v>
      </c>
      <c r="F65" s="11" t="s">
        <v>65</v>
      </c>
      <c r="G65" s="11" t="s">
        <v>71</v>
      </c>
      <c r="H65" s="11" t="s">
        <v>100</v>
      </c>
      <c r="I65" s="11" t="s">
        <v>102</v>
      </c>
      <c r="J65" s="11" t="s">
        <v>469</v>
      </c>
      <c r="K65" s="11">
        <v>53.6</v>
      </c>
      <c r="L65" s="11">
        <v>2019</v>
      </c>
      <c r="M65" s="14">
        <f t="shared" si="16"/>
        <v>1630083.2</v>
      </c>
      <c r="N65" s="14">
        <v>1630083.2</v>
      </c>
      <c r="O65" s="14">
        <v>1630083.2</v>
      </c>
      <c r="P65" s="56">
        <f t="shared" si="2"/>
        <v>1</v>
      </c>
    </row>
    <row r="66" spans="1:16" ht="31.2" x14ac:dyDescent="0.25">
      <c r="A66" s="13" t="s">
        <v>473</v>
      </c>
      <c r="B66" s="11" t="s">
        <v>61</v>
      </c>
      <c r="C66" s="11" t="s">
        <v>13</v>
      </c>
      <c r="D66" s="11" t="s">
        <v>96</v>
      </c>
      <c r="E66" s="11" t="s">
        <v>98</v>
      </c>
      <c r="F66" s="11" t="s">
        <v>65</v>
      </c>
      <c r="G66" s="11" t="s">
        <v>71</v>
      </c>
      <c r="H66" s="11" t="s">
        <v>100</v>
      </c>
      <c r="I66" s="11" t="s">
        <v>102</v>
      </c>
      <c r="J66" s="11" t="s">
        <v>469</v>
      </c>
      <c r="K66" s="11">
        <v>53.8</v>
      </c>
      <c r="L66" s="11">
        <v>2019</v>
      </c>
      <c r="M66" s="14">
        <f t="shared" si="16"/>
        <v>1636165.5999999999</v>
      </c>
      <c r="N66" s="14">
        <v>1636165.6</v>
      </c>
      <c r="O66" s="14">
        <v>1636165.6</v>
      </c>
      <c r="P66" s="56">
        <f t="shared" si="2"/>
        <v>1.0000000000000002</v>
      </c>
    </row>
    <row r="67" spans="1:16" ht="31.2" x14ac:dyDescent="0.25">
      <c r="A67" s="13" t="s">
        <v>474</v>
      </c>
      <c r="B67" s="11" t="s">
        <v>61</v>
      </c>
      <c r="C67" s="11" t="s">
        <v>13</v>
      </c>
      <c r="D67" s="11" t="s">
        <v>96</v>
      </c>
      <c r="E67" s="11" t="s">
        <v>98</v>
      </c>
      <c r="F67" s="11" t="s">
        <v>65</v>
      </c>
      <c r="G67" s="11" t="s">
        <v>71</v>
      </c>
      <c r="H67" s="11" t="s">
        <v>100</v>
      </c>
      <c r="I67" s="11" t="s">
        <v>102</v>
      </c>
      <c r="J67" s="11" t="s">
        <v>469</v>
      </c>
      <c r="K67" s="11">
        <v>60.1</v>
      </c>
      <c r="L67" s="11">
        <v>2019</v>
      </c>
      <c r="M67" s="14">
        <f t="shared" si="16"/>
        <v>1827761.2</v>
      </c>
      <c r="N67" s="14">
        <v>1827761.2</v>
      </c>
      <c r="O67" s="14">
        <v>1827761.2</v>
      </c>
      <c r="P67" s="56">
        <f t="shared" si="2"/>
        <v>1</v>
      </c>
    </row>
    <row r="68" spans="1:16" ht="31.2" x14ac:dyDescent="0.25">
      <c r="A68" s="13" t="s">
        <v>475</v>
      </c>
      <c r="B68" s="11" t="s">
        <v>61</v>
      </c>
      <c r="C68" s="11" t="s">
        <v>13</v>
      </c>
      <c r="D68" s="11" t="s">
        <v>96</v>
      </c>
      <c r="E68" s="11" t="s">
        <v>98</v>
      </c>
      <c r="F68" s="11" t="s">
        <v>65</v>
      </c>
      <c r="G68" s="11" t="s">
        <v>71</v>
      </c>
      <c r="H68" s="11" t="s">
        <v>100</v>
      </c>
      <c r="I68" s="11" t="s">
        <v>102</v>
      </c>
      <c r="J68" s="11" t="s">
        <v>469</v>
      </c>
      <c r="K68" s="11">
        <v>68.8</v>
      </c>
      <c r="L68" s="11">
        <v>2019</v>
      </c>
      <c r="M68" s="14">
        <f t="shared" si="16"/>
        <v>2092345.5999999999</v>
      </c>
      <c r="N68" s="14">
        <v>2092345.6</v>
      </c>
      <c r="O68" s="14">
        <v>2092345.6</v>
      </c>
      <c r="P68" s="56">
        <f t="shared" si="2"/>
        <v>1.0000000000000002</v>
      </c>
    </row>
    <row r="69" spans="1:16" ht="31.2" x14ac:dyDescent="0.25">
      <c r="A69" s="13" t="s">
        <v>516</v>
      </c>
      <c r="B69" s="11" t="s">
        <v>61</v>
      </c>
      <c r="C69" s="11" t="s">
        <v>13</v>
      </c>
      <c r="D69" s="11" t="s">
        <v>96</v>
      </c>
      <c r="E69" s="11" t="s">
        <v>98</v>
      </c>
      <c r="F69" s="11" t="s">
        <v>65</v>
      </c>
      <c r="G69" s="11" t="s">
        <v>71</v>
      </c>
      <c r="H69" s="11" t="s">
        <v>100</v>
      </c>
      <c r="I69" s="11" t="s">
        <v>102</v>
      </c>
      <c r="J69" s="11" t="s">
        <v>469</v>
      </c>
      <c r="K69" s="11">
        <v>79.400000000000006</v>
      </c>
      <c r="L69" s="11">
        <v>2019</v>
      </c>
      <c r="M69" s="14">
        <f t="shared" si="16"/>
        <v>2414712.8000000003</v>
      </c>
      <c r="N69" s="14">
        <v>2414712.7999999998</v>
      </c>
      <c r="O69" s="14">
        <v>2414712.7999999998</v>
      </c>
      <c r="P69" s="56">
        <f t="shared" si="2"/>
        <v>0.99999999999999978</v>
      </c>
    </row>
    <row r="70" spans="1:16" ht="31.2" x14ac:dyDescent="0.25">
      <c r="A70" s="13" t="s">
        <v>516</v>
      </c>
      <c r="B70" s="11" t="s">
        <v>61</v>
      </c>
      <c r="C70" s="11" t="s">
        <v>13</v>
      </c>
      <c r="D70" s="11" t="s">
        <v>96</v>
      </c>
      <c r="E70" s="11" t="s">
        <v>98</v>
      </c>
      <c r="F70" s="11" t="s">
        <v>65</v>
      </c>
      <c r="G70" s="11" t="s">
        <v>71</v>
      </c>
      <c r="H70" s="11" t="s">
        <v>100</v>
      </c>
      <c r="I70" s="11" t="s">
        <v>102</v>
      </c>
      <c r="J70" s="11" t="s">
        <v>469</v>
      </c>
      <c r="K70" s="11">
        <v>79.7</v>
      </c>
      <c r="L70" s="11">
        <v>2019</v>
      </c>
      <c r="M70" s="14">
        <f t="shared" si="16"/>
        <v>2423836.4</v>
      </c>
      <c r="N70" s="14">
        <v>2423836.4</v>
      </c>
      <c r="O70" s="14">
        <v>2423836.4</v>
      </c>
      <c r="P70" s="56">
        <f t="shared" si="2"/>
        <v>1</v>
      </c>
    </row>
    <row r="71" spans="1:16" s="35" customFormat="1" ht="46.8" x14ac:dyDescent="0.25">
      <c r="A71" s="40" t="s">
        <v>615</v>
      </c>
      <c r="B71" s="41" t="s">
        <v>61</v>
      </c>
      <c r="C71" s="41" t="s">
        <v>13</v>
      </c>
      <c r="D71" s="41" t="s">
        <v>96</v>
      </c>
      <c r="E71" s="41" t="s">
        <v>98</v>
      </c>
      <c r="F71" s="41" t="s">
        <v>65</v>
      </c>
      <c r="G71" s="41" t="s">
        <v>71</v>
      </c>
      <c r="H71" s="41" t="s">
        <v>100</v>
      </c>
      <c r="I71" s="41" t="s">
        <v>102</v>
      </c>
      <c r="J71" s="41"/>
      <c r="K71" s="41"/>
      <c r="L71" s="41"/>
      <c r="M71" s="42">
        <f>SUM(M72:M82)</f>
        <v>14853220.799999999</v>
      </c>
      <c r="N71" s="42">
        <f t="shared" ref="N71:O71" si="17">SUM(N72:N82)</f>
        <v>14853220.800000001</v>
      </c>
      <c r="O71" s="42">
        <f t="shared" si="17"/>
        <v>14853220.800000001</v>
      </c>
      <c r="P71" s="55">
        <f t="shared" ref="P71:P134" si="18">O71/M71</f>
        <v>1.0000000000000002</v>
      </c>
    </row>
    <row r="72" spans="1:16" ht="31.2" x14ac:dyDescent="0.25">
      <c r="A72" s="13" t="s">
        <v>574</v>
      </c>
      <c r="B72" s="11" t="s">
        <v>61</v>
      </c>
      <c r="C72" s="11" t="s">
        <v>13</v>
      </c>
      <c r="D72" s="11" t="s">
        <v>96</v>
      </c>
      <c r="E72" s="11" t="s">
        <v>98</v>
      </c>
      <c r="F72" s="11" t="s">
        <v>65</v>
      </c>
      <c r="G72" s="11" t="s">
        <v>71</v>
      </c>
      <c r="H72" s="11" t="s">
        <v>100</v>
      </c>
      <c r="I72" s="11" t="s">
        <v>102</v>
      </c>
      <c r="J72" s="11" t="s">
        <v>469</v>
      </c>
      <c r="K72" s="16">
        <v>34</v>
      </c>
      <c r="L72" s="11">
        <v>2019</v>
      </c>
      <c r="M72" s="14">
        <f t="shared" si="16"/>
        <v>1034008</v>
      </c>
      <c r="N72" s="14">
        <v>1034008</v>
      </c>
      <c r="O72" s="14">
        <v>1034008</v>
      </c>
      <c r="P72" s="56">
        <f t="shared" si="18"/>
        <v>1</v>
      </c>
    </row>
    <row r="73" spans="1:16" ht="31.2" x14ac:dyDescent="0.25">
      <c r="A73" s="13" t="s">
        <v>574</v>
      </c>
      <c r="B73" s="11" t="s">
        <v>61</v>
      </c>
      <c r="C73" s="11" t="s">
        <v>13</v>
      </c>
      <c r="D73" s="11" t="s">
        <v>96</v>
      </c>
      <c r="E73" s="11" t="s">
        <v>98</v>
      </c>
      <c r="F73" s="11" t="s">
        <v>65</v>
      </c>
      <c r="G73" s="11" t="s">
        <v>71</v>
      </c>
      <c r="H73" s="11" t="s">
        <v>100</v>
      </c>
      <c r="I73" s="11" t="s">
        <v>102</v>
      </c>
      <c r="J73" s="11" t="s">
        <v>469</v>
      </c>
      <c r="K73" s="11">
        <v>34.5</v>
      </c>
      <c r="L73" s="11">
        <v>2019</v>
      </c>
      <c r="M73" s="14">
        <f t="shared" si="16"/>
        <v>1049214</v>
      </c>
      <c r="N73" s="14">
        <v>1049214</v>
      </c>
      <c r="O73" s="14">
        <v>1049214</v>
      </c>
      <c r="P73" s="56">
        <f t="shared" si="18"/>
        <v>1</v>
      </c>
    </row>
    <row r="74" spans="1:16" ht="31.2" x14ac:dyDescent="0.25">
      <c r="A74" s="13" t="s">
        <v>574</v>
      </c>
      <c r="B74" s="11" t="s">
        <v>61</v>
      </c>
      <c r="C74" s="11" t="s">
        <v>13</v>
      </c>
      <c r="D74" s="11" t="s">
        <v>96</v>
      </c>
      <c r="E74" s="11" t="s">
        <v>98</v>
      </c>
      <c r="F74" s="11" t="s">
        <v>65</v>
      </c>
      <c r="G74" s="11" t="s">
        <v>71</v>
      </c>
      <c r="H74" s="11" t="s">
        <v>100</v>
      </c>
      <c r="I74" s="11" t="s">
        <v>102</v>
      </c>
      <c r="J74" s="11" t="s">
        <v>469</v>
      </c>
      <c r="K74" s="11">
        <v>35.9</v>
      </c>
      <c r="L74" s="11">
        <v>2019</v>
      </c>
      <c r="M74" s="14">
        <f t="shared" si="16"/>
        <v>1091790.8</v>
      </c>
      <c r="N74" s="14">
        <v>1091790.8</v>
      </c>
      <c r="O74" s="14">
        <v>1091790.8</v>
      </c>
      <c r="P74" s="56">
        <f t="shared" si="18"/>
        <v>1</v>
      </c>
    </row>
    <row r="75" spans="1:16" ht="31.2" x14ac:dyDescent="0.25">
      <c r="A75" s="13" t="s">
        <v>574</v>
      </c>
      <c r="B75" s="11" t="s">
        <v>61</v>
      </c>
      <c r="C75" s="11" t="s">
        <v>13</v>
      </c>
      <c r="D75" s="11" t="s">
        <v>96</v>
      </c>
      <c r="E75" s="11" t="s">
        <v>98</v>
      </c>
      <c r="F75" s="11" t="s">
        <v>65</v>
      </c>
      <c r="G75" s="11" t="s">
        <v>71</v>
      </c>
      <c r="H75" s="11" t="s">
        <v>100</v>
      </c>
      <c r="I75" s="11" t="s">
        <v>102</v>
      </c>
      <c r="J75" s="11" t="s">
        <v>469</v>
      </c>
      <c r="K75" s="11">
        <v>36.1</v>
      </c>
      <c r="L75" s="11">
        <v>2019</v>
      </c>
      <c r="M75" s="14">
        <f t="shared" si="16"/>
        <v>1097873.2</v>
      </c>
      <c r="N75" s="14">
        <v>1097873.2</v>
      </c>
      <c r="O75" s="14">
        <v>1097873.2</v>
      </c>
      <c r="P75" s="56">
        <f t="shared" si="18"/>
        <v>1</v>
      </c>
    </row>
    <row r="76" spans="1:16" ht="31.2" x14ac:dyDescent="0.25">
      <c r="A76" s="13" t="s">
        <v>574</v>
      </c>
      <c r="B76" s="11" t="s">
        <v>61</v>
      </c>
      <c r="C76" s="11" t="s">
        <v>13</v>
      </c>
      <c r="D76" s="11" t="s">
        <v>96</v>
      </c>
      <c r="E76" s="11" t="s">
        <v>98</v>
      </c>
      <c r="F76" s="11" t="s">
        <v>65</v>
      </c>
      <c r="G76" s="11" t="s">
        <v>71</v>
      </c>
      <c r="H76" s="11" t="s">
        <v>100</v>
      </c>
      <c r="I76" s="11" t="s">
        <v>102</v>
      </c>
      <c r="J76" s="11" t="s">
        <v>469</v>
      </c>
      <c r="K76" s="11">
        <v>36.299999999999997</v>
      </c>
      <c r="L76" s="11">
        <v>2019</v>
      </c>
      <c r="M76" s="14">
        <f t="shared" si="16"/>
        <v>1103955.5999999999</v>
      </c>
      <c r="N76" s="14">
        <v>1103955.6000000001</v>
      </c>
      <c r="O76" s="14">
        <v>1103955.6000000001</v>
      </c>
      <c r="P76" s="56">
        <f t="shared" si="18"/>
        <v>1.0000000000000002</v>
      </c>
    </row>
    <row r="77" spans="1:16" ht="31.2" x14ac:dyDescent="0.25">
      <c r="A77" s="13" t="s">
        <v>575</v>
      </c>
      <c r="B77" s="11" t="s">
        <v>61</v>
      </c>
      <c r="C77" s="11" t="s">
        <v>13</v>
      </c>
      <c r="D77" s="11" t="s">
        <v>96</v>
      </c>
      <c r="E77" s="11" t="s">
        <v>98</v>
      </c>
      <c r="F77" s="11" t="s">
        <v>65</v>
      </c>
      <c r="G77" s="11" t="s">
        <v>71</v>
      </c>
      <c r="H77" s="11" t="s">
        <v>100</v>
      </c>
      <c r="I77" s="11" t="s">
        <v>102</v>
      </c>
      <c r="J77" s="11" t="s">
        <v>469</v>
      </c>
      <c r="K77" s="11">
        <v>46.6</v>
      </c>
      <c r="L77" s="11">
        <v>2019</v>
      </c>
      <c r="M77" s="14">
        <f t="shared" si="16"/>
        <v>1417199.2</v>
      </c>
      <c r="N77" s="14">
        <v>1417199.2</v>
      </c>
      <c r="O77" s="14">
        <v>1417199.2</v>
      </c>
      <c r="P77" s="56">
        <f t="shared" si="18"/>
        <v>1</v>
      </c>
    </row>
    <row r="78" spans="1:16" ht="31.2" x14ac:dyDescent="0.25">
      <c r="A78" s="13" t="s">
        <v>575</v>
      </c>
      <c r="B78" s="11" t="s">
        <v>61</v>
      </c>
      <c r="C78" s="11" t="s">
        <v>13</v>
      </c>
      <c r="D78" s="11" t="s">
        <v>96</v>
      </c>
      <c r="E78" s="11" t="s">
        <v>98</v>
      </c>
      <c r="F78" s="11" t="s">
        <v>65</v>
      </c>
      <c r="G78" s="11" t="s">
        <v>71</v>
      </c>
      <c r="H78" s="11" t="s">
        <v>100</v>
      </c>
      <c r="I78" s="11" t="s">
        <v>102</v>
      </c>
      <c r="J78" s="11" t="s">
        <v>469</v>
      </c>
      <c r="K78" s="11">
        <v>46.7</v>
      </c>
      <c r="L78" s="11">
        <v>2019</v>
      </c>
      <c r="M78" s="14">
        <f t="shared" si="16"/>
        <v>1420240.4000000001</v>
      </c>
      <c r="N78" s="14">
        <v>1420240.4</v>
      </c>
      <c r="O78" s="14">
        <v>1420240.4</v>
      </c>
      <c r="P78" s="56">
        <f t="shared" si="18"/>
        <v>0.99999999999999989</v>
      </c>
    </row>
    <row r="79" spans="1:16" ht="31.2" x14ac:dyDescent="0.25">
      <c r="A79" s="13" t="s">
        <v>575</v>
      </c>
      <c r="B79" s="11" t="s">
        <v>61</v>
      </c>
      <c r="C79" s="11" t="s">
        <v>13</v>
      </c>
      <c r="D79" s="11" t="s">
        <v>96</v>
      </c>
      <c r="E79" s="11" t="s">
        <v>98</v>
      </c>
      <c r="F79" s="11" t="s">
        <v>65</v>
      </c>
      <c r="G79" s="11" t="s">
        <v>71</v>
      </c>
      <c r="H79" s="11" t="s">
        <v>100</v>
      </c>
      <c r="I79" s="11" t="s">
        <v>102</v>
      </c>
      <c r="J79" s="11" t="s">
        <v>469</v>
      </c>
      <c r="K79" s="11">
        <v>46.9</v>
      </c>
      <c r="L79" s="11">
        <v>2019</v>
      </c>
      <c r="M79" s="14">
        <f t="shared" si="16"/>
        <v>1426322.8</v>
      </c>
      <c r="N79" s="14">
        <v>1426322.8</v>
      </c>
      <c r="O79" s="14">
        <v>1426322.8</v>
      </c>
      <c r="P79" s="56">
        <f t="shared" si="18"/>
        <v>1</v>
      </c>
    </row>
    <row r="80" spans="1:16" ht="31.2" x14ac:dyDescent="0.25">
      <c r="A80" s="13" t="s">
        <v>575</v>
      </c>
      <c r="B80" s="11" t="s">
        <v>61</v>
      </c>
      <c r="C80" s="11" t="s">
        <v>13</v>
      </c>
      <c r="D80" s="11" t="s">
        <v>96</v>
      </c>
      <c r="E80" s="11" t="s">
        <v>98</v>
      </c>
      <c r="F80" s="11" t="s">
        <v>65</v>
      </c>
      <c r="G80" s="11" t="s">
        <v>71</v>
      </c>
      <c r="H80" s="11" t="s">
        <v>100</v>
      </c>
      <c r="I80" s="11" t="s">
        <v>102</v>
      </c>
      <c r="J80" s="11" t="s">
        <v>469</v>
      </c>
      <c r="K80" s="11">
        <v>50.6</v>
      </c>
      <c r="L80" s="11">
        <v>2019</v>
      </c>
      <c r="M80" s="14">
        <f t="shared" si="16"/>
        <v>1538847.2</v>
      </c>
      <c r="N80" s="14">
        <v>1538847.2</v>
      </c>
      <c r="O80" s="14">
        <v>1538847.2</v>
      </c>
      <c r="P80" s="56">
        <f t="shared" si="18"/>
        <v>1</v>
      </c>
    </row>
    <row r="81" spans="1:16" ht="31.2" x14ac:dyDescent="0.25">
      <c r="A81" s="13" t="s">
        <v>575</v>
      </c>
      <c r="B81" s="11" t="s">
        <v>61</v>
      </c>
      <c r="C81" s="11" t="s">
        <v>13</v>
      </c>
      <c r="D81" s="11" t="s">
        <v>96</v>
      </c>
      <c r="E81" s="11" t="s">
        <v>98</v>
      </c>
      <c r="F81" s="11" t="s">
        <v>65</v>
      </c>
      <c r="G81" s="11" t="s">
        <v>71</v>
      </c>
      <c r="H81" s="11" t="s">
        <v>100</v>
      </c>
      <c r="I81" s="11" t="s">
        <v>102</v>
      </c>
      <c r="J81" s="11" t="s">
        <v>469</v>
      </c>
      <c r="K81" s="11">
        <v>50.7</v>
      </c>
      <c r="L81" s="11">
        <v>2019</v>
      </c>
      <c r="M81" s="14">
        <f t="shared" si="16"/>
        <v>1541888.4000000001</v>
      </c>
      <c r="N81" s="14">
        <v>1541888.4</v>
      </c>
      <c r="O81" s="14">
        <v>1541888.4</v>
      </c>
      <c r="P81" s="56">
        <f t="shared" si="18"/>
        <v>0.99999999999999989</v>
      </c>
    </row>
    <row r="82" spans="1:16" ht="31.2" x14ac:dyDescent="0.25">
      <c r="A82" s="13" t="s">
        <v>576</v>
      </c>
      <c r="B82" s="11" t="s">
        <v>61</v>
      </c>
      <c r="C82" s="11" t="s">
        <v>13</v>
      </c>
      <c r="D82" s="11" t="s">
        <v>96</v>
      </c>
      <c r="E82" s="11" t="s">
        <v>98</v>
      </c>
      <c r="F82" s="11" t="s">
        <v>65</v>
      </c>
      <c r="G82" s="11" t="s">
        <v>71</v>
      </c>
      <c r="H82" s="11" t="s">
        <v>100</v>
      </c>
      <c r="I82" s="11" t="s">
        <v>102</v>
      </c>
      <c r="J82" s="11" t="s">
        <v>469</v>
      </c>
      <c r="K82" s="11">
        <v>70.099999999999994</v>
      </c>
      <c r="L82" s="11">
        <v>2019</v>
      </c>
      <c r="M82" s="14">
        <f t="shared" si="16"/>
        <v>2131881.1999999997</v>
      </c>
      <c r="N82" s="14">
        <v>2131881.2000000002</v>
      </c>
      <c r="O82" s="14">
        <v>2131881.2000000002</v>
      </c>
      <c r="P82" s="56">
        <f t="shared" si="18"/>
        <v>1.0000000000000002</v>
      </c>
    </row>
    <row r="83" spans="1:16" s="35" customFormat="1" ht="62.4" x14ac:dyDescent="0.25">
      <c r="A83" s="40" t="s">
        <v>614</v>
      </c>
      <c r="B83" s="41" t="s">
        <v>61</v>
      </c>
      <c r="C83" s="41" t="s">
        <v>13</v>
      </c>
      <c r="D83" s="41" t="s">
        <v>96</v>
      </c>
      <c r="E83" s="41" t="s">
        <v>98</v>
      </c>
      <c r="F83" s="41" t="s">
        <v>65</v>
      </c>
      <c r="G83" s="41" t="s">
        <v>71</v>
      </c>
      <c r="H83" s="41" t="s">
        <v>100</v>
      </c>
      <c r="I83" s="41" t="s">
        <v>102</v>
      </c>
      <c r="J83" s="41"/>
      <c r="K83" s="42"/>
      <c r="L83" s="41"/>
      <c r="M83" s="42">
        <f>SUM(M84:M103)</f>
        <v>32559087.200000003</v>
      </c>
      <c r="N83" s="42">
        <f t="shared" ref="N83:O83" si="19">SUM(N84:N103)</f>
        <v>32559087.200000003</v>
      </c>
      <c r="O83" s="42">
        <f t="shared" si="19"/>
        <v>32559087.200000003</v>
      </c>
      <c r="P83" s="55">
        <f t="shared" si="18"/>
        <v>1</v>
      </c>
    </row>
    <row r="84" spans="1:16" ht="38.25" customHeight="1" x14ac:dyDescent="0.25">
      <c r="A84" s="13" t="s">
        <v>476</v>
      </c>
      <c r="B84" s="11" t="s">
        <v>61</v>
      </c>
      <c r="C84" s="11" t="s">
        <v>13</v>
      </c>
      <c r="D84" s="11" t="s">
        <v>96</v>
      </c>
      <c r="E84" s="11" t="s">
        <v>98</v>
      </c>
      <c r="F84" s="11" t="s">
        <v>65</v>
      </c>
      <c r="G84" s="11" t="s">
        <v>71</v>
      </c>
      <c r="H84" s="11" t="s">
        <v>100</v>
      </c>
      <c r="I84" s="11" t="s">
        <v>102</v>
      </c>
      <c r="J84" s="11" t="s">
        <v>469</v>
      </c>
      <c r="K84" s="11">
        <v>41.3</v>
      </c>
      <c r="L84" s="11">
        <v>2019</v>
      </c>
      <c r="M84" s="14">
        <f t="shared" ref="M84:M107" si="20">30412*K84</f>
        <v>1256015.5999999999</v>
      </c>
      <c r="N84" s="14">
        <v>1256015.6000000001</v>
      </c>
      <c r="O84" s="14">
        <v>1256015.6000000001</v>
      </c>
      <c r="P84" s="56">
        <f t="shared" si="18"/>
        <v>1.0000000000000002</v>
      </c>
    </row>
    <row r="85" spans="1:16" ht="39" customHeight="1" x14ac:dyDescent="0.25">
      <c r="A85" s="13" t="s">
        <v>476</v>
      </c>
      <c r="B85" s="11" t="s">
        <v>61</v>
      </c>
      <c r="C85" s="11" t="s">
        <v>13</v>
      </c>
      <c r="D85" s="11" t="s">
        <v>96</v>
      </c>
      <c r="E85" s="11" t="s">
        <v>98</v>
      </c>
      <c r="F85" s="11" t="s">
        <v>65</v>
      </c>
      <c r="G85" s="11" t="s">
        <v>71</v>
      </c>
      <c r="H85" s="11" t="s">
        <v>100</v>
      </c>
      <c r="I85" s="11" t="s">
        <v>102</v>
      </c>
      <c r="J85" s="11" t="s">
        <v>469</v>
      </c>
      <c r="K85" s="11">
        <v>41.5</v>
      </c>
      <c r="L85" s="11">
        <v>2019</v>
      </c>
      <c r="M85" s="14">
        <f t="shared" si="20"/>
        <v>1262098</v>
      </c>
      <c r="N85" s="14">
        <v>1262098</v>
      </c>
      <c r="O85" s="14">
        <v>1262098</v>
      </c>
      <c r="P85" s="56">
        <f t="shared" si="18"/>
        <v>1</v>
      </c>
    </row>
    <row r="86" spans="1:16" ht="37.5" customHeight="1" x14ac:dyDescent="0.25">
      <c r="A86" s="13" t="s">
        <v>476</v>
      </c>
      <c r="B86" s="11" t="s">
        <v>61</v>
      </c>
      <c r="C86" s="11" t="s">
        <v>13</v>
      </c>
      <c r="D86" s="11" t="s">
        <v>96</v>
      </c>
      <c r="E86" s="11" t="s">
        <v>98</v>
      </c>
      <c r="F86" s="11" t="s">
        <v>65</v>
      </c>
      <c r="G86" s="11" t="s">
        <v>71</v>
      </c>
      <c r="H86" s="11" t="s">
        <v>100</v>
      </c>
      <c r="I86" s="11" t="s">
        <v>102</v>
      </c>
      <c r="J86" s="11" t="s">
        <v>469</v>
      </c>
      <c r="K86" s="16">
        <v>42</v>
      </c>
      <c r="L86" s="11">
        <v>2019</v>
      </c>
      <c r="M86" s="14">
        <f t="shared" si="20"/>
        <v>1277304</v>
      </c>
      <c r="N86" s="14">
        <v>1277304</v>
      </c>
      <c r="O86" s="14">
        <v>1277304</v>
      </c>
      <c r="P86" s="56">
        <f t="shared" si="18"/>
        <v>1</v>
      </c>
    </row>
    <row r="87" spans="1:16" ht="38.25" customHeight="1" x14ac:dyDescent="0.25">
      <c r="A87" s="13" t="s">
        <v>476</v>
      </c>
      <c r="B87" s="11" t="s">
        <v>61</v>
      </c>
      <c r="C87" s="11" t="s">
        <v>13</v>
      </c>
      <c r="D87" s="11" t="s">
        <v>96</v>
      </c>
      <c r="E87" s="11" t="s">
        <v>98</v>
      </c>
      <c r="F87" s="11" t="s">
        <v>65</v>
      </c>
      <c r="G87" s="11" t="s">
        <v>71</v>
      </c>
      <c r="H87" s="11" t="s">
        <v>100</v>
      </c>
      <c r="I87" s="11" t="s">
        <v>102</v>
      </c>
      <c r="J87" s="11" t="s">
        <v>469</v>
      </c>
      <c r="K87" s="16">
        <v>42.2</v>
      </c>
      <c r="L87" s="11">
        <v>2019</v>
      </c>
      <c r="M87" s="14">
        <f t="shared" si="20"/>
        <v>1283386.4000000001</v>
      </c>
      <c r="N87" s="14">
        <v>1283386.3999999999</v>
      </c>
      <c r="O87" s="14">
        <v>1283386.3999999999</v>
      </c>
      <c r="P87" s="56">
        <f t="shared" si="18"/>
        <v>0.99999999999999978</v>
      </c>
    </row>
    <row r="88" spans="1:16" ht="33.75" customHeight="1" x14ac:dyDescent="0.25">
      <c r="A88" s="13" t="s">
        <v>476</v>
      </c>
      <c r="B88" s="11" t="s">
        <v>61</v>
      </c>
      <c r="C88" s="11" t="s">
        <v>13</v>
      </c>
      <c r="D88" s="11" t="s">
        <v>96</v>
      </c>
      <c r="E88" s="11" t="s">
        <v>98</v>
      </c>
      <c r="F88" s="11" t="s">
        <v>65</v>
      </c>
      <c r="G88" s="11" t="s">
        <v>71</v>
      </c>
      <c r="H88" s="11" t="s">
        <v>100</v>
      </c>
      <c r="I88" s="11" t="s">
        <v>102</v>
      </c>
      <c r="J88" s="11" t="s">
        <v>469</v>
      </c>
      <c r="K88" s="16">
        <v>42.4</v>
      </c>
      <c r="L88" s="11">
        <v>2019</v>
      </c>
      <c r="M88" s="14">
        <f t="shared" si="20"/>
        <v>1289468.8</v>
      </c>
      <c r="N88" s="14">
        <v>1289468.8</v>
      </c>
      <c r="O88" s="14">
        <v>1289468.8</v>
      </c>
      <c r="P88" s="56">
        <f t="shared" si="18"/>
        <v>1</v>
      </c>
    </row>
    <row r="89" spans="1:16" ht="39" customHeight="1" x14ac:dyDescent="0.25">
      <c r="A89" s="13" t="s">
        <v>476</v>
      </c>
      <c r="B89" s="11" t="s">
        <v>61</v>
      </c>
      <c r="C89" s="11" t="s">
        <v>13</v>
      </c>
      <c r="D89" s="11" t="s">
        <v>96</v>
      </c>
      <c r="E89" s="11" t="s">
        <v>98</v>
      </c>
      <c r="F89" s="11" t="s">
        <v>65</v>
      </c>
      <c r="G89" s="11" t="s">
        <v>71</v>
      </c>
      <c r="H89" s="11" t="s">
        <v>100</v>
      </c>
      <c r="I89" s="11" t="s">
        <v>102</v>
      </c>
      <c r="J89" s="11" t="s">
        <v>469</v>
      </c>
      <c r="K89" s="16">
        <v>43.1</v>
      </c>
      <c r="L89" s="11">
        <v>2019</v>
      </c>
      <c r="M89" s="14">
        <f t="shared" si="20"/>
        <v>1310757.2</v>
      </c>
      <c r="N89" s="14">
        <v>1310757.2</v>
      </c>
      <c r="O89" s="14">
        <v>1310757.2</v>
      </c>
      <c r="P89" s="56">
        <f t="shared" si="18"/>
        <v>1</v>
      </c>
    </row>
    <row r="90" spans="1:16" ht="34.5" customHeight="1" x14ac:dyDescent="0.25">
      <c r="A90" s="13" t="s">
        <v>476</v>
      </c>
      <c r="B90" s="11" t="s">
        <v>61</v>
      </c>
      <c r="C90" s="11" t="s">
        <v>13</v>
      </c>
      <c r="D90" s="11" t="s">
        <v>96</v>
      </c>
      <c r="E90" s="11" t="s">
        <v>98</v>
      </c>
      <c r="F90" s="11" t="s">
        <v>65</v>
      </c>
      <c r="G90" s="11" t="s">
        <v>71</v>
      </c>
      <c r="H90" s="11" t="s">
        <v>100</v>
      </c>
      <c r="I90" s="11" t="s">
        <v>102</v>
      </c>
      <c r="J90" s="11" t="s">
        <v>469</v>
      </c>
      <c r="K90" s="16">
        <v>43.5</v>
      </c>
      <c r="L90" s="11">
        <v>2019</v>
      </c>
      <c r="M90" s="14">
        <f t="shared" si="20"/>
        <v>1322922</v>
      </c>
      <c r="N90" s="14">
        <v>1322922</v>
      </c>
      <c r="O90" s="14">
        <v>1322922</v>
      </c>
      <c r="P90" s="56">
        <f t="shared" si="18"/>
        <v>1</v>
      </c>
    </row>
    <row r="91" spans="1:16" ht="34.5" customHeight="1" x14ac:dyDescent="0.25">
      <c r="A91" s="13" t="s">
        <v>476</v>
      </c>
      <c r="B91" s="11" t="s">
        <v>61</v>
      </c>
      <c r="C91" s="11" t="s">
        <v>13</v>
      </c>
      <c r="D91" s="11" t="s">
        <v>96</v>
      </c>
      <c r="E91" s="11" t="s">
        <v>98</v>
      </c>
      <c r="F91" s="11" t="s">
        <v>65</v>
      </c>
      <c r="G91" s="11" t="s">
        <v>71</v>
      </c>
      <c r="H91" s="11" t="s">
        <v>100</v>
      </c>
      <c r="I91" s="11" t="s">
        <v>102</v>
      </c>
      <c r="J91" s="11" t="s">
        <v>469</v>
      </c>
      <c r="K91" s="16">
        <v>45.1</v>
      </c>
      <c r="L91" s="11">
        <v>2019</v>
      </c>
      <c r="M91" s="14">
        <f t="shared" si="20"/>
        <v>1371581.2</v>
      </c>
      <c r="N91" s="14">
        <v>1371581.2</v>
      </c>
      <c r="O91" s="14">
        <v>1371581.2</v>
      </c>
      <c r="P91" s="56">
        <f t="shared" si="18"/>
        <v>1</v>
      </c>
    </row>
    <row r="92" spans="1:16" ht="37.5" customHeight="1" x14ac:dyDescent="0.25">
      <c r="A92" s="13" t="s">
        <v>476</v>
      </c>
      <c r="B92" s="11" t="s">
        <v>61</v>
      </c>
      <c r="C92" s="11" t="s">
        <v>13</v>
      </c>
      <c r="D92" s="11" t="s">
        <v>96</v>
      </c>
      <c r="E92" s="11" t="s">
        <v>98</v>
      </c>
      <c r="F92" s="11" t="s">
        <v>65</v>
      </c>
      <c r="G92" s="11" t="s">
        <v>71</v>
      </c>
      <c r="H92" s="11" t="s">
        <v>100</v>
      </c>
      <c r="I92" s="11" t="s">
        <v>102</v>
      </c>
      <c r="J92" s="11" t="s">
        <v>469</v>
      </c>
      <c r="K92" s="16">
        <v>46.6</v>
      </c>
      <c r="L92" s="11">
        <v>2019</v>
      </c>
      <c r="M92" s="14">
        <f t="shared" si="20"/>
        <v>1417199.2</v>
      </c>
      <c r="N92" s="14">
        <v>1417199.2</v>
      </c>
      <c r="O92" s="14">
        <v>1417199.2</v>
      </c>
      <c r="P92" s="56">
        <f t="shared" si="18"/>
        <v>1</v>
      </c>
    </row>
    <row r="93" spans="1:16" ht="31.2" x14ac:dyDescent="0.25">
      <c r="A93" s="13" t="s">
        <v>476</v>
      </c>
      <c r="B93" s="11" t="s">
        <v>61</v>
      </c>
      <c r="C93" s="11" t="s">
        <v>13</v>
      </c>
      <c r="D93" s="11" t="s">
        <v>96</v>
      </c>
      <c r="E93" s="11" t="s">
        <v>98</v>
      </c>
      <c r="F93" s="11" t="s">
        <v>65</v>
      </c>
      <c r="G93" s="11" t="s">
        <v>71</v>
      </c>
      <c r="H93" s="11" t="s">
        <v>100</v>
      </c>
      <c r="I93" s="11" t="s">
        <v>102</v>
      </c>
      <c r="J93" s="11" t="s">
        <v>469</v>
      </c>
      <c r="K93" s="16">
        <v>63</v>
      </c>
      <c r="L93" s="11">
        <v>2019</v>
      </c>
      <c r="M93" s="14">
        <f t="shared" si="20"/>
        <v>1915956</v>
      </c>
      <c r="N93" s="14">
        <v>1915956</v>
      </c>
      <c r="O93" s="14">
        <v>1915956</v>
      </c>
      <c r="P93" s="56">
        <f t="shared" si="18"/>
        <v>1</v>
      </c>
    </row>
    <row r="94" spans="1:16" ht="39.75" customHeight="1" x14ac:dyDescent="0.25">
      <c r="A94" s="13" t="s">
        <v>476</v>
      </c>
      <c r="B94" s="11" t="s">
        <v>61</v>
      </c>
      <c r="C94" s="11" t="s">
        <v>13</v>
      </c>
      <c r="D94" s="11" t="s">
        <v>96</v>
      </c>
      <c r="E94" s="11" t="s">
        <v>98</v>
      </c>
      <c r="F94" s="11" t="s">
        <v>65</v>
      </c>
      <c r="G94" s="11" t="s">
        <v>71</v>
      </c>
      <c r="H94" s="11" t="s">
        <v>100</v>
      </c>
      <c r="I94" s="11" t="s">
        <v>102</v>
      </c>
      <c r="J94" s="11" t="s">
        <v>469</v>
      </c>
      <c r="K94" s="16">
        <v>63.2</v>
      </c>
      <c r="L94" s="11">
        <v>2019</v>
      </c>
      <c r="M94" s="14">
        <f t="shared" si="20"/>
        <v>1922038.4000000001</v>
      </c>
      <c r="N94" s="14">
        <v>1922038.4</v>
      </c>
      <c r="O94" s="14">
        <v>1922038.4</v>
      </c>
      <c r="P94" s="56">
        <f t="shared" si="18"/>
        <v>0.99999999999999989</v>
      </c>
    </row>
    <row r="95" spans="1:16" ht="36.75" customHeight="1" x14ac:dyDescent="0.25">
      <c r="A95" s="13" t="s">
        <v>476</v>
      </c>
      <c r="B95" s="11" t="s">
        <v>61</v>
      </c>
      <c r="C95" s="11" t="s">
        <v>13</v>
      </c>
      <c r="D95" s="11" t="s">
        <v>96</v>
      </c>
      <c r="E95" s="11" t="s">
        <v>98</v>
      </c>
      <c r="F95" s="11" t="s">
        <v>65</v>
      </c>
      <c r="G95" s="11" t="s">
        <v>71</v>
      </c>
      <c r="H95" s="11" t="s">
        <v>100</v>
      </c>
      <c r="I95" s="11" t="s">
        <v>102</v>
      </c>
      <c r="J95" s="11" t="s">
        <v>469</v>
      </c>
      <c r="K95" s="16">
        <v>65.2</v>
      </c>
      <c r="L95" s="11">
        <v>2019</v>
      </c>
      <c r="M95" s="14">
        <f t="shared" si="20"/>
        <v>1982862.4000000001</v>
      </c>
      <c r="N95" s="14">
        <v>1982862.4</v>
      </c>
      <c r="O95" s="14">
        <v>1982862.4</v>
      </c>
      <c r="P95" s="56">
        <f t="shared" si="18"/>
        <v>0.99999999999999989</v>
      </c>
    </row>
    <row r="96" spans="1:16" ht="39" customHeight="1" x14ac:dyDescent="0.25">
      <c r="A96" s="13" t="s">
        <v>477</v>
      </c>
      <c r="B96" s="11" t="s">
        <v>61</v>
      </c>
      <c r="C96" s="11" t="s">
        <v>13</v>
      </c>
      <c r="D96" s="11" t="s">
        <v>96</v>
      </c>
      <c r="E96" s="11" t="s">
        <v>98</v>
      </c>
      <c r="F96" s="11" t="s">
        <v>65</v>
      </c>
      <c r="G96" s="11" t="s">
        <v>71</v>
      </c>
      <c r="H96" s="11" t="s">
        <v>100</v>
      </c>
      <c r="I96" s="11" t="s">
        <v>102</v>
      </c>
      <c r="J96" s="11" t="s">
        <v>469</v>
      </c>
      <c r="K96" s="16">
        <v>56.4</v>
      </c>
      <c r="L96" s="11">
        <v>2019</v>
      </c>
      <c r="M96" s="14">
        <f t="shared" si="20"/>
        <v>1715236.8</v>
      </c>
      <c r="N96" s="14">
        <v>1715236.8</v>
      </c>
      <c r="O96" s="14">
        <v>1715236.8</v>
      </c>
      <c r="P96" s="56">
        <f t="shared" si="18"/>
        <v>1</v>
      </c>
    </row>
    <row r="97" spans="1:16" ht="37.5" customHeight="1" x14ac:dyDescent="0.25">
      <c r="A97" s="13" t="s">
        <v>477</v>
      </c>
      <c r="B97" s="11" t="s">
        <v>61</v>
      </c>
      <c r="C97" s="11" t="s">
        <v>13</v>
      </c>
      <c r="D97" s="11" t="s">
        <v>96</v>
      </c>
      <c r="E97" s="11" t="s">
        <v>98</v>
      </c>
      <c r="F97" s="11" t="s">
        <v>65</v>
      </c>
      <c r="G97" s="11" t="s">
        <v>71</v>
      </c>
      <c r="H97" s="11" t="s">
        <v>100</v>
      </c>
      <c r="I97" s="11" t="s">
        <v>102</v>
      </c>
      <c r="J97" s="11" t="s">
        <v>469</v>
      </c>
      <c r="K97" s="16">
        <v>56.5</v>
      </c>
      <c r="L97" s="11">
        <v>2019</v>
      </c>
      <c r="M97" s="14">
        <f t="shared" si="20"/>
        <v>1718278</v>
      </c>
      <c r="N97" s="14">
        <v>1718278</v>
      </c>
      <c r="O97" s="14">
        <v>1718278</v>
      </c>
      <c r="P97" s="56">
        <f t="shared" si="18"/>
        <v>1</v>
      </c>
    </row>
    <row r="98" spans="1:16" ht="38.25" customHeight="1" x14ac:dyDescent="0.25">
      <c r="A98" s="13" t="s">
        <v>477</v>
      </c>
      <c r="B98" s="11" t="s">
        <v>61</v>
      </c>
      <c r="C98" s="11" t="s">
        <v>13</v>
      </c>
      <c r="D98" s="11" t="s">
        <v>96</v>
      </c>
      <c r="E98" s="11" t="s">
        <v>98</v>
      </c>
      <c r="F98" s="11" t="s">
        <v>65</v>
      </c>
      <c r="G98" s="11" t="s">
        <v>71</v>
      </c>
      <c r="H98" s="11" t="s">
        <v>100</v>
      </c>
      <c r="I98" s="11" t="s">
        <v>102</v>
      </c>
      <c r="J98" s="11" t="s">
        <v>469</v>
      </c>
      <c r="K98" s="16">
        <v>61.9</v>
      </c>
      <c r="L98" s="11">
        <v>2019</v>
      </c>
      <c r="M98" s="14">
        <f t="shared" si="20"/>
        <v>1882502.8</v>
      </c>
      <c r="N98" s="14">
        <v>1882502.8</v>
      </c>
      <c r="O98" s="14">
        <v>1882502.8</v>
      </c>
      <c r="P98" s="56">
        <f t="shared" si="18"/>
        <v>1</v>
      </c>
    </row>
    <row r="99" spans="1:16" ht="36" customHeight="1" x14ac:dyDescent="0.25">
      <c r="A99" s="13" t="s">
        <v>477</v>
      </c>
      <c r="B99" s="11" t="s">
        <v>61</v>
      </c>
      <c r="C99" s="11" t="s">
        <v>13</v>
      </c>
      <c r="D99" s="11" t="s">
        <v>96</v>
      </c>
      <c r="E99" s="11" t="s">
        <v>98</v>
      </c>
      <c r="F99" s="11" t="s">
        <v>65</v>
      </c>
      <c r="G99" s="11" t="s">
        <v>71</v>
      </c>
      <c r="H99" s="11" t="s">
        <v>100</v>
      </c>
      <c r="I99" s="11" t="s">
        <v>102</v>
      </c>
      <c r="J99" s="11" t="s">
        <v>469</v>
      </c>
      <c r="K99" s="16">
        <v>62</v>
      </c>
      <c r="L99" s="11">
        <v>2019</v>
      </c>
      <c r="M99" s="14">
        <f>30412*K99-82112.4</f>
        <v>1803431.6</v>
      </c>
      <c r="N99" s="14">
        <v>1803431.6</v>
      </c>
      <c r="O99" s="14">
        <v>1803431.6</v>
      </c>
      <c r="P99" s="56">
        <f t="shared" si="18"/>
        <v>1</v>
      </c>
    </row>
    <row r="100" spans="1:16" ht="39.75" customHeight="1" x14ac:dyDescent="0.25">
      <c r="A100" s="13" t="s">
        <v>477</v>
      </c>
      <c r="B100" s="11" t="s">
        <v>61</v>
      </c>
      <c r="C100" s="11" t="s">
        <v>13</v>
      </c>
      <c r="D100" s="11" t="s">
        <v>96</v>
      </c>
      <c r="E100" s="11" t="s">
        <v>98</v>
      </c>
      <c r="F100" s="11" t="s">
        <v>65</v>
      </c>
      <c r="G100" s="11" t="s">
        <v>71</v>
      </c>
      <c r="H100" s="11" t="s">
        <v>100</v>
      </c>
      <c r="I100" s="11" t="s">
        <v>102</v>
      </c>
      <c r="J100" s="11" t="s">
        <v>469</v>
      </c>
      <c r="K100" s="16">
        <v>63.3</v>
      </c>
      <c r="L100" s="11">
        <v>2019</v>
      </c>
      <c r="M100" s="14">
        <f t="shared" si="20"/>
        <v>1925079.5999999999</v>
      </c>
      <c r="N100" s="14">
        <v>1925079.6</v>
      </c>
      <c r="O100" s="14">
        <v>1925079.6</v>
      </c>
      <c r="P100" s="56">
        <f t="shared" si="18"/>
        <v>1.0000000000000002</v>
      </c>
    </row>
    <row r="101" spans="1:16" ht="39" customHeight="1" x14ac:dyDescent="0.25">
      <c r="A101" s="13" t="s">
        <v>477</v>
      </c>
      <c r="B101" s="11" t="s">
        <v>61</v>
      </c>
      <c r="C101" s="11" t="s">
        <v>13</v>
      </c>
      <c r="D101" s="11" t="s">
        <v>96</v>
      </c>
      <c r="E101" s="11" t="s">
        <v>98</v>
      </c>
      <c r="F101" s="11" t="s">
        <v>65</v>
      </c>
      <c r="G101" s="11" t="s">
        <v>71</v>
      </c>
      <c r="H101" s="11" t="s">
        <v>100</v>
      </c>
      <c r="I101" s="11" t="s">
        <v>102</v>
      </c>
      <c r="J101" s="11" t="s">
        <v>469</v>
      </c>
      <c r="K101" s="16">
        <v>64</v>
      </c>
      <c r="L101" s="11">
        <v>2019</v>
      </c>
      <c r="M101" s="14">
        <f t="shared" si="20"/>
        <v>1946368</v>
      </c>
      <c r="N101" s="14">
        <v>1946368</v>
      </c>
      <c r="O101" s="14">
        <v>1946368</v>
      </c>
      <c r="P101" s="56">
        <f t="shared" si="18"/>
        <v>1</v>
      </c>
    </row>
    <row r="102" spans="1:16" ht="37.5" customHeight="1" x14ac:dyDescent="0.25">
      <c r="A102" s="13" t="s">
        <v>477</v>
      </c>
      <c r="B102" s="11" t="s">
        <v>61</v>
      </c>
      <c r="C102" s="11" t="s">
        <v>13</v>
      </c>
      <c r="D102" s="11" t="s">
        <v>96</v>
      </c>
      <c r="E102" s="11" t="s">
        <v>98</v>
      </c>
      <c r="F102" s="11" t="s">
        <v>65</v>
      </c>
      <c r="G102" s="11" t="s">
        <v>71</v>
      </c>
      <c r="H102" s="11" t="s">
        <v>100</v>
      </c>
      <c r="I102" s="11" t="s">
        <v>102</v>
      </c>
      <c r="J102" s="11" t="s">
        <v>469</v>
      </c>
      <c r="K102" s="16">
        <v>64.900000000000006</v>
      </c>
      <c r="L102" s="11">
        <v>2019</v>
      </c>
      <c r="M102" s="14">
        <f t="shared" si="20"/>
        <v>1973738.8000000003</v>
      </c>
      <c r="N102" s="14">
        <v>1973738.8</v>
      </c>
      <c r="O102" s="14">
        <v>1973738.8</v>
      </c>
      <c r="P102" s="56">
        <f t="shared" si="18"/>
        <v>0.99999999999999989</v>
      </c>
    </row>
    <row r="103" spans="1:16" ht="39" customHeight="1" x14ac:dyDescent="0.25">
      <c r="A103" s="13" t="s">
        <v>477</v>
      </c>
      <c r="B103" s="11" t="s">
        <v>61</v>
      </c>
      <c r="C103" s="11" t="s">
        <v>13</v>
      </c>
      <c r="D103" s="11" t="s">
        <v>96</v>
      </c>
      <c r="E103" s="11" t="s">
        <v>98</v>
      </c>
      <c r="F103" s="11" t="s">
        <v>65</v>
      </c>
      <c r="G103" s="11" t="s">
        <v>71</v>
      </c>
      <c r="H103" s="11" t="s">
        <v>100</v>
      </c>
      <c r="I103" s="11" t="s">
        <v>102</v>
      </c>
      <c r="J103" s="11" t="s">
        <v>469</v>
      </c>
      <c r="K103" s="16">
        <v>65.2</v>
      </c>
      <c r="L103" s="11">
        <v>2019</v>
      </c>
      <c r="M103" s="14">
        <f t="shared" si="20"/>
        <v>1982862.4000000001</v>
      </c>
      <c r="N103" s="14">
        <v>1982862.4</v>
      </c>
      <c r="O103" s="14">
        <v>1982862.4</v>
      </c>
      <c r="P103" s="56">
        <f t="shared" si="18"/>
        <v>0.99999999999999989</v>
      </c>
    </row>
    <row r="104" spans="1:16" s="35" customFormat="1" ht="62.25" customHeight="1" x14ac:dyDescent="0.25">
      <c r="A104" s="40" t="s">
        <v>613</v>
      </c>
      <c r="B104" s="41" t="s">
        <v>61</v>
      </c>
      <c r="C104" s="41" t="s">
        <v>13</v>
      </c>
      <c r="D104" s="41" t="s">
        <v>96</v>
      </c>
      <c r="E104" s="41" t="s">
        <v>98</v>
      </c>
      <c r="F104" s="41" t="s">
        <v>65</v>
      </c>
      <c r="G104" s="41" t="s">
        <v>71</v>
      </c>
      <c r="H104" s="41" t="s">
        <v>100</v>
      </c>
      <c r="I104" s="41" t="s">
        <v>102</v>
      </c>
      <c r="J104" s="41"/>
      <c r="K104" s="47"/>
      <c r="L104" s="41"/>
      <c r="M104" s="42">
        <f>SUM(M105:M107)</f>
        <v>4193814.8</v>
      </c>
      <c r="N104" s="42">
        <f t="shared" ref="N104:O104" si="21">SUM(N105:N107)</f>
        <v>4193814.8</v>
      </c>
      <c r="O104" s="42">
        <f t="shared" si="21"/>
        <v>4193814.8</v>
      </c>
      <c r="P104" s="55">
        <f t="shared" si="18"/>
        <v>1</v>
      </c>
    </row>
    <row r="105" spans="1:16" ht="32.25" customHeight="1" x14ac:dyDescent="0.25">
      <c r="A105" s="13" t="s">
        <v>517</v>
      </c>
      <c r="B105" s="11" t="s">
        <v>61</v>
      </c>
      <c r="C105" s="11" t="s">
        <v>13</v>
      </c>
      <c r="D105" s="11" t="s">
        <v>96</v>
      </c>
      <c r="E105" s="11" t="s">
        <v>98</v>
      </c>
      <c r="F105" s="11" t="s">
        <v>65</v>
      </c>
      <c r="G105" s="11" t="s">
        <v>71</v>
      </c>
      <c r="H105" s="11" t="s">
        <v>100</v>
      </c>
      <c r="I105" s="11" t="s">
        <v>102</v>
      </c>
      <c r="J105" s="11" t="s">
        <v>469</v>
      </c>
      <c r="K105" s="16">
        <v>40.5</v>
      </c>
      <c r="L105" s="11">
        <v>2019</v>
      </c>
      <c r="M105" s="14">
        <f t="shared" si="20"/>
        <v>1231686</v>
      </c>
      <c r="N105" s="14">
        <v>1231686</v>
      </c>
      <c r="O105" s="14">
        <v>1231686</v>
      </c>
      <c r="P105" s="56">
        <f t="shared" si="18"/>
        <v>1</v>
      </c>
    </row>
    <row r="106" spans="1:16" ht="35.25" customHeight="1" x14ac:dyDescent="0.25">
      <c r="A106" s="13" t="s">
        <v>517</v>
      </c>
      <c r="B106" s="11" t="s">
        <v>61</v>
      </c>
      <c r="C106" s="11" t="s">
        <v>13</v>
      </c>
      <c r="D106" s="11" t="s">
        <v>96</v>
      </c>
      <c r="E106" s="11" t="s">
        <v>98</v>
      </c>
      <c r="F106" s="11" t="s">
        <v>65</v>
      </c>
      <c r="G106" s="11" t="s">
        <v>71</v>
      </c>
      <c r="H106" s="11" t="s">
        <v>100</v>
      </c>
      <c r="I106" s="11" t="s">
        <v>102</v>
      </c>
      <c r="J106" s="11" t="s">
        <v>469</v>
      </c>
      <c r="K106" s="16">
        <v>44.5</v>
      </c>
      <c r="L106" s="11">
        <v>2019</v>
      </c>
      <c r="M106" s="14">
        <f t="shared" si="20"/>
        <v>1353334</v>
      </c>
      <c r="N106" s="14">
        <v>1353334</v>
      </c>
      <c r="O106" s="14">
        <v>1353334</v>
      </c>
      <c r="P106" s="56">
        <f t="shared" si="18"/>
        <v>1</v>
      </c>
    </row>
    <row r="107" spans="1:16" ht="35.25" customHeight="1" x14ac:dyDescent="0.25">
      <c r="A107" s="13" t="s">
        <v>518</v>
      </c>
      <c r="B107" s="11" t="s">
        <v>61</v>
      </c>
      <c r="C107" s="11" t="s">
        <v>13</v>
      </c>
      <c r="D107" s="11" t="s">
        <v>96</v>
      </c>
      <c r="E107" s="11" t="s">
        <v>98</v>
      </c>
      <c r="F107" s="11" t="s">
        <v>65</v>
      </c>
      <c r="G107" s="11" t="s">
        <v>71</v>
      </c>
      <c r="H107" s="11" t="s">
        <v>100</v>
      </c>
      <c r="I107" s="11" t="s">
        <v>102</v>
      </c>
      <c r="J107" s="11" t="s">
        <v>469</v>
      </c>
      <c r="K107" s="16">
        <v>52.9</v>
      </c>
      <c r="L107" s="11">
        <v>2019</v>
      </c>
      <c r="M107" s="14">
        <f t="shared" si="20"/>
        <v>1608794.8</v>
      </c>
      <c r="N107" s="14">
        <v>1608794.8</v>
      </c>
      <c r="O107" s="14">
        <v>1608794.8</v>
      </c>
      <c r="P107" s="56">
        <f t="shared" si="18"/>
        <v>1</v>
      </c>
    </row>
    <row r="108" spans="1:16" s="35" customFormat="1" ht="46.8" x14ac:dyDescent="0.25">
      <c r="A108" s="40" t="s">
        <v>612</v>
      </c>
      <c r="B108" s="41" t="s">
        <v>61</v>
      </c>
      <c r="C108" s="41" t="s">
        <v>13</v>
      </c>
      <c r="D108" s="41" t="s">
        <v>96</v>
      </c>
      <c r="E108" s="41" t="s">
        <v>98</v>
      </c>
      <c r="F108" s="41" t="s">
        <v>65</v>
      </c>
      <c r="G108" s="41" t="s">
        <v>71</v>
      </c>
      <c r="H108" s="41" t="s">
        <v>100</v>
      </c>
      <c r="I108" s="41" t="s">
        <v>102</v>
      </c>
      <c r="J108" s="41"/>
      <c r="K108" s="41"/>
      <c r="L108" s="41"/>
      <c r="M108" s="42">
        <f>SUM(M109:M110)</f>
        <v>3494338.8</v>
      </c>
      <c r="N108" s="42">
        <f t="shared" ref="N108:O108" si="22">SUM(N109:N110)</f>
        <v>3494338.8</v>
      </c>
      <c r="O108" s="42">
        <f t="shared" si="22"/>
        <v>3494338.8</v>
      </c>
      <c r="P108" s="55">
        <f t="shared" si="18"/>
        <v>1</v>
      </c>
    </row>
    <row r="109" spans="1:16" ht="31.2" x14ac:dyDescent="0.25">
      <c r="A109" s="13" t="s">
        <v>478</v>
      </c>
      <c r="B109" s="11" t="s">
        <v>61</v>
      </c>
      <c r="C109" s="11" t="s">
        <v>13</v>
      </c>
      <c r="D109" s="11" t="s">
        <v>96</v>
      </c>
      <c r="E109" s="11" t="s">
        <v>98</v>
      </c>
      <c r="F109" s="11" t="s">
        <v>65</v>
      </c>
      <c r="G109" s="11" t="s">
        <v>71</v>
      </c>
      <c r="H109" s="11" t="s">
        <v>100</v>
      </c>
      <c r="I109" s="11" t="s">
        <v>102</v>
      </c>
      <c r="J109" s="11" t="s">
        <v>469</v>
      </c>
      <c r="K109" s="16">
        <v>57</v>
      </c>
      <c r="L109" s="11">
        <v>2019</v>
      </c>
      <c r="M109" s="14">
        <f>30412*K109</f>
        <v>1733484</v>
      </c>
      <c r="N109" s="14">
        <v>1733484</v>
      </c>
      <c r="O109" s="14">
        <v>1733484</v>
      </c>
      <c r="P109" s="56">
        <f t="shared" si="18"/>
        <v>1</v>
      </c>
    </row>
    <row r="110" spans="1:16" ht="31.2" x14ac:dyDescent="0.25">
      <c r="A110" s="13" t="s">
        <v>478</v>
      </c>
      <c r="B110" s="11" t="s">
        <v>61</v>
      </c>
      <c r="C110" s="11" t="s">
        <v>13</v>
      </c>
      <c r="D110" s="11" t="s">
        <v>96</v>
      </c>
      <c r="E110" s="11" t="s">
        <v>98</v>
      </c>
      <c r="F110" s="11" t="s">
        <v>65</v>
      </c>
      <c r="G110" s="11" t="s">
        <v>71</v>
      </c>
      <c r="H110" s="11" t="s">
        <v>100</v>
      </c>
      <c r="I110" s="11" t="s">
        <v>102</v>
      </c>
      <c r="J110" s="11" t="s">
        <v>469</v>
      </c>
      <c r="K110" s="16">
        <v>57.9</v>
      </c>
      <c r="L110" s="11">
        <v>2019</v>
      </c>
      <c r="M110" s="14">
        <f>30412*K110</f>
        <v>1760854.8</v>
      </c>
      <c r="N110" s="14">
        <v>1760854.8</v>
      </c>
      <c r="O110" s="14">
        <v>1760854.8</v>
      </c>
      <c r="P110" s="56">
        <f t="shared" si="18"/>
        <v>1</v>
      </c>
    </row>
    <row r="111" spans="1:16" s="35" customFormat="1" ht="65.25" customHeight="1" x14ac:dyDescent="0.25">
      <c r="A111" s="40" t="s">
        <v>611</v>
      </c>
      <c r="B111" s="41" t="s">
        <v>61</v>
      </c>
      <c r="C111" s="41" t="s">
        <v>13</v>
      </c>
      <c r="D111" s="41" t="s">
        <v>96</v>
      </c>
      <c r="E111" s="41" t="s">
        <v>98</v>
      </c>
      <c r="F111" s="41" t="s">
        <v>65</v>
      </c>
      <c r="G111" s="41" t="s">
        <v>71</v>
      </c>
      <c r="H111" s="41" t="s">
        <v>100</v>
      </c>
      <c r="I111" s="41" t="s">
        <v>102</v>
      </c>
      <c r="J111" s="41"/>
      <c r="K111" s="41"/>
      <c r="L111" s="41"/>
      <c r="M111" s="42">
        <f>SUM(M112:M113)</f>
        <v>2937799.1999999997</v>
      </c>
      <c r="N111" s="42">
        <f t="shared" ref="N111:O111" si="23">SUM(N112:N113)</f>
        <v>2937799.2</v>
      </c>
      <c r="O111" s="42">
        <f t="shared" si="23"/>
        <v>2937799.2</v>
      </c>
      <c r="P111" s="55">
        <f t="shared" si="18"/>
        <v>1.0000000000000002</v>
      </c>
    </row>
    <row r="112" spans="1:16" ht="31.2" x14ac:dyDescent="0.25">
      <c r="A112" s="13" t="s">
        <v>479</v>
      </c>
      <c r="B112" s="11" t="s">
        <v>61</v>
      </c>
      <c r="C112" s="11" t="s">
        <v>13</v>
      </c>
      <c r="D112" s="11" t="s">
        <v>96</v>
      </c>
      <c r="E112" s="11" t="s">
        <v>98</v>
      </c>
      <c r="F112" s="11" t="s">
        <v>65</v>
      </c>
      <c r="G112" s="11" t="s">
        <v>71</v>
      </c>
      <c r="H112" s="11" t="s">
        <v>100</v>
      </c>
      <c r="I112" s="11" t="s">
        <v>102</v>
      </c>
      <c r="J112" s="11" t="s">
        <v>469</v>
      </c>
      <c r="K112" s="11">
        <v>48.3</v>
      </c>
      <c r="L112" s="11">
        <v>2019</v>
      </c>
      <c r="M112" s="14">
        <f>30412*K112</f>
        <v>1468899.5999999999</v>
      </c>
      <c r="N112" s="14">
        <v>1468899.6</v>
      </c>
      <c r="O112" s="14">
        <v>1468899.6</v>
      </c>
      <c r="P112" s="56">
        <f t="shared" si="18"/>
        <v>1.0000000000000002</v>
      </c>
    </row>
    <row r="113" spans="1:16" ht="32.25" customHeight="1" x14ac:dyDescent="0.25">
      <c r="A113" s="13" t="s">
        <v>479</v>
      </c>
      <c r="B113" s="11" t="s">
        <v>61</v>
      </c>
      <c r="C113" s="11" t="s">
        <v>13</v>
      </c>
      <c r="D113" s="11" t="s">
        <v>96</v>
      </c>
      <c r="E113" s="11" t="s">
        <v>98</v>
      </c>
      <c r="F113" s="11" t="s">
        <v>65</v>
      </c>
      <c r="G113" s="11" t="s">
        <v>71</v>
      </c>
      <c r="H113" s="11" t="s">
        <v>100</v>
      </c>
      <c r="I113" s="11" t="s">
        <v>102</v>
      </c>
      <c r="J113" s="11" t="s">
        <v>469</v>
      </c>
      <c r="K113" s="11">
        <v>48.3</v>
      </c>
      <c r="L113" s="11">
        <v>2019</v>
      </c>
      <c r="M113" s="14">
        <f>30412*K113</f>
        <v>1468899.5999999999</v>
      </c>
      <c r="N113" s="14">
        <v>1468899.6</v>
      </c>
      <c r="O113" s="14">
        <v>1468899.6</v>
      </c>
      <c r="P113" s="56">
        <f t="shared" si="18"/>
        <v>1.0000000000000002</v>
      </c>
    </row>
    <row r="114" spans="1:16" s="35" customFormat="1" ht="74.25" customHeight="1" x14ac:dyDescent="0.25">
      <c r="A114" s="40" t="s">
        <v>610</v>
      </c>
      <c r="B114" s="41" t="s">
        <v>61</v>
      </c>
      <c r="C114" s="41" t="s">
        <v>13</v>
      </c>
      <c r="D114" s="41" t="s">
        <v>96</v>
      </c>
      <c r="E114" s="41" t="s">
        <v>98</v>
      </c>
      <c r="F114" s="41" t="s">
        <v>65</v>
      </c>
      <c r="G114" s="41" t="s">
        <v>71</v>
      </c>
      <c r="H114" s="41" t="s">
        <v>100</v>
      </c>
      <c r="I114" s="41" t="s">
        <v>102</v>
      </c>
      <c r="J114" s="41"/>
      <c r="K114" s="41"/>
      <c r="L114" s="41"/>
      <c r="M114" s="42">
        <f>SUM(M115:M117)</f>
        <v>6891359.1999999993</v>
      </c>
      <c r="N114" s="42">
        <f t="shared" ref="N114:O114" si="24">SUM(N115:N117)</f>
        <v>6891359.2000000002</v>
      </c>
      <c r="O114" s="42">
        <f t="shared" si="24"/>
        <v>6891359.2000000002</v>
      </c>
      <c r="P114" s="55">
        <f t="shared" si="18"/>
        <v>1.0000000000000002</v>
      </c>
    </row>
    <row r="115" spans="1:16" ht="31.2" x14ac:dyDescent="0.25">
      <c r="A115" s="13" t="s">
        <v>480</v>
      </c>
      <c r="B115" s="11" t="s">
        <v>61</v>
      </c>
      <c r="C115" s="11" t="s">
        <v>13</v>
      </c>
      <c r="D115" s="11" t="s">
        <v>96</v>
      </c>
      <c r="E115" s="11" t="s">
        <v>98</v>
      </c>
      <c r="F115" s="11" t="s">
        <v>65</v>
      </c>
      <c r="G115" s="11" t="s">
        <v>71</v>
      </c>
      <c r="H115" s="11" t="s">
        <v>100</v>
      </c>
      <c r="I115" s="11" t="s">
        <v>102</v>
      </c>
      <c r="J115" s="11" t="s">
        <v>469</v>
      </c>
      <c r="K115" s="16">
        <v>62.1</v>
      </c>
      <c r="L115" s="11">
        <v>2019</v>
      </c>
      <c r="M115" s="14">
        <f>30412*K115</f>
        <v>1888585.2</v>
      </c>
      <c r="N115" s="14">
        <v>1888585.2</v>
      </c>
      <c r="O115" s="14">
        <v>1888585.2</v>
      </c>
      <c r="P115" s="56">
        <f t="shared" si="18"/>
        <v>1</v>
      </c>
    </row>
    <row r="116" spans="1:16" ht="31.2" x14ac:dyDescent="0.25">
      <c r="A116" s="13" t="s">
        <v>481</v>
      </c>
      <c r="B116" s="11" t="s">
        <v>61</v>
      </c>
      <c r="C116" s="11" t="s">
        <v>13</v>
      </c>
      <c r="D116" s="11" t="s">
        <v>96</v>
      </c>
      <c r="E116" s="11" t="s">
        <v>98</v>
      </c>
      <c r="F116" s="11" t="s">
        <v>65</v>
      </c>
      <c r="G116" s="11" t="s">
        <v>71</v>
      </c>
      <c r="H116" s="11" t="s">
        <v>100</v>
      </c>
      <c r="I116" s="11" t="s">
        <v>102</v>
      </c>
      <c r="J116" s="11" t="s">
        <v>469</v>
      </c>
      <c r="K116" s="16">
        <v>81.400000000000006</v>
      </c>
      <c r="L116" s="11">
        <v>2019</v>
      </c>
      <c r="M116" s="14">
        <f>30412*K116</f>
        <v>2475536.8000000003</v>
      </c>
      <c r="N116" s="14">
        <v>2475536.7999999998</v>
      </c>
      <c r="O116" s="14">
        <v>2475536.7999999998</v>
      </c>
      <c r="P116" s="56">
        <f t="shared" si="18"/>
        <v>0.99999999999999978</v>
      </c>
    </row>
    <row r="117" spans="1:16" ht="31.2" x14ac:dyDescent="0.25">
      <c r="A117" s="13" t="s">
        <v>481</v>
      </c>
      <c r="B117" s="11" t="s">
        <v>61</v>
      </c>
      <c r="C117" s="11" t="s">
        <v>13</v>
      </c>
      <c r="D117" s="11" t="s">
        <v>96</v>
      </c>
      <c r="E117" s="11" t="s">
        <v>98</v>
      </c>
      <c r="F117" s="11" t="s">
        <v>65</v>
      </c>
      <c r="G117" s="11" t="s">
        <v>71</v>
      </c>
      <c r="H117" s="11" t="s">
        <v>100</v>
      </c>
      <c r="I117" s="11" t="s">
        <v>102</v>
      </c>
      <c r="J117" s="11" t="s">
        <v>469</v>
      </c>
      <c r="K117" s="16">
        <v>83.1</v>
      </c>
      <c r="L117" s="11">
        <v>2019</v>
      </c>
      <c r="M117" s="14">
        <f>30412*K117</f>
        <v>2527237.1999999997</v>
      </c>
      <c r="N117" s="14">
        <v>2527237.2000000002</v>
      </c>
      <c r="O117" s="14">
        <v>2527237.2000000002</v>
      </c>
      <c r="P117" s="56">
        <f t="shared" si="18"/>
        <v>1.0000000000000002</v>
      </c>
    </row>
    <row r="118" spans="1:16" s="35" customFormat="1" ht="68.25" customHeight="1" x14ac:dyDescent="0.25">
      <c r="A118" s="48" t="s">
        <v>609</v>
      </c>
      <c r="B118" s="49" t="s">
        <v>61</v>
      </c>
      <c r="C118" s="41" t="s">
        <v>13</v>
      </c>
      <c r="D118" s="41" t="s">
        <v>96</v>
      </c>
      <c r="E118" s="41" t="s">
        <v>98</v>
      </c>
      <c r="F118" s="41" t="s">
        <v>65</v>
      </c>
      <c r="G118" s="41" t="s">
        <v>71</v>
      </c>
      <c r="H118" s="41" t="s">
        <v>100</v>
      </c>
      <c r="I118" s="41" t="s">
        <v>102</v>
      </c>
      <c r="J118" s="41"/>
      <c r="K118" s="47"/>
      <c r="L118" s="41"/>
      <c r="M118" s="42">
        <f>SUM(M119:M150)</f>
        <v>42236185.600000001</v>
      </c>
      <c r="N118" s="42">
        <f t="shared" ref="N118:O118" si="25">SUM(N119:N150)</f>
        <v>42236185.600000001</v>
      </c>
      <c r="O118" s="42">
        <f t="shared" si="25"/>
        <v>42236185.600000001</v>
      </c>
      <c r="P118" s="55">
        <f t="shared" si="18"/>
        <v>1</v>
      </c>
    </row>
    <row r="119" spans="1:16" ht="42" customHeight="1" x14ac:dyDescent="0.25">
      <c r="A119" s="2" t="s">
        <v>492</v>
      </c>
      <c r="B119" s="19" t="s">
        <v>61</v>
      </c>
      <c r="C119" s="11" t="s">
        <v>13</v>
      </c>
      <c r="D119" s="11" t="s">
        <v>96</v>
      </c>
      <c r="E119" s="11" t="s">
        <v>98</v>
      </c>
      <c r="F119" s="11" t="s">
        <v>65</v>
      </c>
      <c r="G119" s="11" t="s">
        <v>71</v>
      </c>
      <c r="H119" s="11" t="s">
        <v>100</v>
      </c>
      <c r="I119" s="11" t="s">
        <v>102</v>
      </c>
      <c r="J119" s="11" t="s">
        <v>469</v>
      </c>
      <c r="K119" s="16">
        <v>33.700000000000003</v>
      </c>
      <c r="L119" s="11">
        <v>2019</v>
      </c>
      <c r="M119" s="14">
        <f t="shared" ref="M119:M154" si="26">30412*K119</f>
        <v>1024884.4000000001</v>
      </c>
      <c r="N119" s="14">
        <v>1024887.4</v>
      </c>
      <c r="O119" s="14">
        <v>1024887.4</v>
      </c>
      <c r="P119" s="56">
        <f t="shared" si="18"/>
        <v>1.0000029271593947</v>
      </c>
    </row>
    <row r="120" spans="1:16" ht="40.5" customHeight="1" x14ac:dyDescent="0.25">
      <c r="A120" s="2" t="s">
        <v>492</v>
      </c>
      <c r="B120" s="19" t="s">
        <v>61</v>
      </c>
      <c r="C120" s="11" t="s">
        <v>13</v>
      </c>
      <c r="D120" s="11" t="s">
        <v>96</v>
      </c>
      <c r="E120" s="11" t="s">
        <v>98</v>
      </c>
      <c r="F120" s="11" t="s">
        <v>65</v>
      </c>
      <c r="G120" s="11" t="s">
        <v>71</v>
      </c>
      <c r="H120" s="11" t="s">
        <v>100</v>
      </c>
      <c r="I120" s="11" t="s">
        <v>102</v>
      </c>
      <c r="J120" s="11" t="s">
        <v>469</v>
      </c>
      <c r="K120" s="16">
        <v>33.700000000000003</v>
      </c>
      <c r="L120" s="11">
        <v>2019</v>
      </c>
      <c r="M120" s="14">
        <f t="shared" si="26"/>
        <v>1024884.4000000001</v>
      </c>
      <c r="N120" s="14">
        <v>1024884.4</v>
      </c>
      <c r="O120" s="14">
        <v>1024884.4</v>
      </c>
      <c r="P120" s="56">
        <f t="shared" si="18"/>
        <v>0.99999999999999989</v>
      </c>
    </row>
    <row r="121" spans="1:16" ht="33" customHeight="1" x14ac:dyDescent="0.25">
      <c r="A121" s="2" t="s">
        <v>492</v>
      </c>
      <c r="B121" s="19" t="s">
        <v>61</v>
      </c>
      <c r="C121" s="11" t="s">
        <v>13</v>
      </c>
      <c r="D121" s="11" t="s">
        <v>96</v>
      </c>
      <c r="E121" s="11" t="s">
        <v>98</v>
      </c>
      <c r="F121" s="11" t="s">
        <v>65</v>
      </c>
      <c r="G121" s="11" t="s">
        <v>71</v>
      </c>
      <c r="H121" s="11" t="s">
        <v>100</v>
      </c>
      <c r="I121" s="11" t="s">
        <v>102</v>
      </c>
      <c r="J121" s="11" t="s">
        <v>469</v>
      </c>
      <c r="K121" s="16">
        <v>33.799999999999997</v>
      </c>
      <c r="L121" s="11">
        <v>2019</v>
      </c>
      <c r="M121" s="14">
        <f t="shared" si="26"/>
        <v>1027925.5999999999</v>
      </c>
      <c r="N121" s="14">
        <v>1027925.6</v>
      </c>
      <c r="O121" s="14">
        <v>1027925.6</v>
      </c>
      <c r="P121" s="56">
        <f t="shared" si="18"/>
        <v>1.0000000000000002</v>
      </c>
    </row>
    <row r="122" spans="1:16" ht="34.5" customHeight="1" x14ac:dyDescent="0.25">
      <c r="A122" s="2" t="s">
        <v>492</v>
      </c>
      <c r="B122" s="19" t="s">
        <v>61</v>
      </c>
      <c r="C122" s="11" t="s">
        <v>13</v>
      </c>
      <c r="D122" s="11" t="s">
        <v>96</v>
      </c>
      <c r="E122" s="11" t="s">
        <v>98</v>
      </c>
      <c r="F122" s="11" t="s">
        <v>65</v>
      </c>
      <c r="G122" s="11" t="s">
        <v>71</v>
      </c>
      <c r="H122" s="11" t="s">
        <v>100</v>
      </c>
      <c r="I122" s="11" t="s">
        <v>102</v>
      </c>
      <c r="J122" s="11" t="s">
        <v>469</v>
      </c>
      <c r="K122" s="16">
        <v>34</v>
      </c>
      <c r="L122" s="11">
        <v>2019</v>
      </c>
      <c r="M122" s="14">
        <f t="shared" si="26"/>
        <v>1034008</v>
      </c>
      <c r="N122" s="14">
        <v>1034008</v>
      </c>
      <c r="O122" s="14">
        <v>1034008</v>
      </c>
      <c r="P122" s="56">
        <f t="shared" si="18"/>
        <v>1</v>
      </c>
    </row>
    <row r="123" spans="1:16" ht="33" customHeight="1" x14ac:dyDescent="0.25">
      <c r="A123" s="2" t="s">
        <v>492</v>
      </c>
      <c r="B123" s="19" t="s">
        <v>61</v>
      </c>
      <c r="C123" s="11" t="s">
        <v>13</v>
      </c>
      <c r="D123" s="11" t="s">
        <v>96</v>
      </c>
      <c r="E123" s="11" t="s">
        <v>98</v>
      </c>
      <c r="F123" s="11" t="s">
        <v>65</v>
      </c>
      <c r="G123" s="11" t="s">
        <v>71</v>
      </c>
      <c r="H123" s="11" t="s">
        <v>100</v>
      </c>
      <c r="I123" s="11" t="s">
        <v>102</v>
      </c>
      <c r="J123" s="11" t="s">
        <v>469</v>
      </c>
      <c r="K123" s="16">
        <v>34</v>
      </c>
      <c r="L123" s="11">
        <v>2019</v>
      </c>
      <c r="M123" s="14">
        <f t="shared" si="26"/>
        <v>1034008</v>
      </c>
      <c r="N123" s="14">
        <v>1034008</v>
      </c>
      <c r="O123" s="14">
        <v>1034008</v>
      </c>
      <c r="P123" s="56">
        <f t="shared" si="18"/>
        <v>1</v>
      </c>
    </row>
    <row r="124" spans="1:16" ht="36" customHeight="1" x14ac:dyDescent="0.25">
      <c r="A124" s="2" t="s">
        <v>492</v>
      </c>
      <c r="B124" s="19" t="s">
        <v>61</v>
      </c>
      <c r="C124" s="11" t="s">
        <v>13</v>
      </c>
      <c r="D124" s="11" t="s">
        <v>96</v>
      </c>
      <c r="E124" s="11" t="s">
        <v>98</v>
      </c>
      <c r="F124" s="11" t="s">
        <v>65</v>
      </c>
      <c r="G124" s="11" t="s">
        <v>71</v>
      </c>
      <c r="H124" s="11" t="s">
        <v>100</v>
      </c>
      <c r="I124" s="11" t="s">
        <v>102</v>
      </c>
      <c r="J124" s="11" t="s">
        <v>469</v>
      </c>
      <c r="K124" s="16">
        <v>34</v>
      </c>
      <c r="L124" s="11">
        <v>2019</v>
      </c>
      <c r="M124" s="14">
        <f t="shared" si="26"/>
        <v>1034008</v>
      </c>
      <c r="N124" s="14">
        <v>1034008</v>
      </c>
      <c r="O124" s="14">
        <v>1034008</v>
      </c>
      <c r="P124" s="56">
        <f t="shared" si="18"/>
        <v>1</v>
      </c>
    </row>
    <row r="125" spans="1:16" ht="36" customHeight="1" x14ac:dyDescent="0.25">
      <c r="A125" s="2" t="s">
        <v>492</v>
      </c>
      <c r="B125" s="19" t="s">
        <v>61</v>
      </c>
      <c r="C125" s="11" t="s">
        <v>13</v>
      </c>
      <c r="D125" s="11" t="s">
        <v>96</v>
      </c>
      <c r="E125" s="11" t="s">
        <v>98</v>
      </c>
      <c r="F125" s="11" t="s">
        <v>65</v>
      </c>
      <c r="G125" s="11" t="s">
        <v>71</v>
      </c>
      <c r="H125" s="11" t="s">
        <v>100</v>
      </c>
      <c r="I125" s="11" t="s">
        <v>102</v>
      </c>
      <c r="J125" s="11" t="s">
        <v>469</v>
      </c>
      <c r="K125" s="16">
        <v>34</v>
      </c>
      <c r="L125" s="11">
        <v>2019</v>
      </c>
      <c r="M125" s="14">
        <f t="shared" si="26"/>
        <v>1034008</v>
      </c>
      <c r="N125" s="14">
        <v>1034008</v>
      </c>
      <c r="O125" s="14">
        <v>1034008</v>
      </c>
      <c r="P125" s="56">
        <f t="shared" si="18"/>
        <v>1</v>
      </c>
    </row>
    <row r="126" spans="1:16" ht="32.25" customHeight="1" x14ac:dyDescent="0.25">
      <c r="A126" s="2" t="s">
        <v>492</v>
      </c>
      <c r="B126" s="19" t="s">
        <v>61</v>
      </c>
      <c r="C126" s="11" t="s">
        <v>13</v>
      </c>
      <c r="D126" s="11" t="s">
        <v>96</v>
      </c>
      <c r="E126" s="11" t="s">
        <v>98</v>
      </c>
      <c r="F126" s="11" t="s">
        <v>65</v>
      </c>
      <c r="G126" s="11" t="s">
        <v>71</v>
      </c>
      <c r="H126" s="11" t="s">
        <v>100</v>
      </c>
      <c r="I126" s="11" t="s">
        <v>102</v>
      </c>
      <c r="J126" s="11" t="s">
        <v>469</v>
      </c>
      <c r="K126" s="16">
        <v>34</v>
      </c>
      <c r="L126" s="11">
        <v>2019</v>
      </c>
      <c r="M126" s="14">
        <f t="shared" si="26"/>
        <v>1034008</v>
      </c>
      <c r="N126" s="14">
        <v>1034008</v>
      </c>
      <c r="O126" s="14">
        <v>1034008</v>
      </c>
      <c r="P126" s="56">
        <f t="shared" si="18"/>
        <v>1</v>
      </c>
    </row>
    <row r="127" spans="1:16" ht="33" customHeight="1" x14ac:dyDescent="0.25">
      <c r="A127" s="2" t="s">
        <v>492</v>
      </c>
      <c r="B127" s="19" t="s">
        <v>61</v>
      </c>
      <c r="C127" s="11" t="s">
        <v>13</v>
      </c>
      <c r="D127" s="11" t="s">
        <v>96</v>
      </c>
      <c r="E127" s="11" t="s">
        <v>98</v>
      </c>
      <c r="F127" s="11" t="s">
        <v>65</v>
      </c>
      <c r="G127" s="11" t="s">
        <v>71</v>
      </c>
      <c r="H127" s="11" t="s">
        <v>100</v>
      </c>
      <c r="I127" s="11" t="s">
        <v>102</v>
      </c>
      <c r="J127" s="11" t="s">
        <v>469</v>
      </c>
      <c r="K127" s="16">
        <v>34</v>
      </c>
      <c r="L127" s="11">
        <v>2019</v>
      </c>
      <c r="M127" s="14">
        <f t="shared" si="26"/>
        <v>1034008</v>
      </c>
      <c r="N127" s="14">
        <v>1034008</v>
      </c>
      <c r="O127" s="14">
        <v>1034008</v>
      </c>
      <c r="P127" s="56">
        <f t="shared" si="18"/>
        <v>1</v>
      </c>
    </row>
    <row r="128" spans="1:16" ht="33" customHeight="1" x14ac:dyDescent="0.25">
      <c r="A128" s="2" t="s">
        <v>492</v>
      </c>
      <c r="B128" s="19" t="s">
        <v>61</v>
      </c>
      <c r="C128" s="11" t="s">
        <v>13</v>
      </c>
      <c r="D128" s="11" t="s">
        <v>96</v>
      </c>
      <c r="E128" s="11" t="s">
        <v>98</v>
      </c>
      <c r="F128" s="11" t="s">
        <v>65</v>
      </c>
      <c r="G128" s="11" t="s">
        <v>71</v>
      </c>
      <c r="H128" s="11" t="s">
        <v>100</v>
      </c>
      <c r="I128" s="11" t="s">
        <v>102</v>
      </c>
      <c r="J128" s="11" t="s">
        <v>469</v>
      </c>
      <c r="K128" s="16">
        <v>34</v>
      </c>
      <c r="L128" s="11">
        <v>2019</v>
      </c>
      <c r="M128" s="14">
        <f t="shared" si="26"/>
        <v>1034008</v>
      </c>
      <c r="N128" s="14">
        <v>1034008</v>
      </c>
      <c r="O128" s="14">
        <v>1034008</v>
      </c>
      <c r="P128" s="56">
        <f t="shared" si="18"/>
        <v>1</v>
      </c>
    </row>
    <row r="129" spans="1:16" ht="33" customHeight="1" x14ac:dyDescent="0.25">
      <c r="A129" s="2" t="s">
        <v>492</v>
      </c>
      <c r="B129" s="19" t="s">
        <v>61</v>
      </c>
      <c r="C129" s="11" t="s">
        <v>13</v>
      </c>
      <c r="D129" s="11" t="s">
        <v>96</v>
      </c>
      <c r="E129" s="11" t="s">
        <v>98</v>
      </c>
      <c r="F129" s="11" t="s">
        <v>65</v>
      </c>
      <c r="G129" s="11" t="s">
        <v>71</v>
      </c>
      <c r="H129" s="11" t="s">
        <v>100</v>
      </c>
      <c r="I129" s="11" t="s">
        <v>102</v>
      </c>
      <c r="J129" s="11" t="s">
        <v>469</v>
      </c>
      <c r="K129" s="16">
        <v>34</v>
      </c>
      <c r="L129" s="11">
        <v>2019</v>
      </c>
      <c r="M129" s="14">
        <f t="shared" si="26"/>
        <v>1034008</v>
      </c>
      <c r="N129" s="14">
        <v>1034008</v>
      </c>
      <c r="O129" s="14">
        <v>1034008</v>
      </c>
      <c r="P129" s="56">
        <f t="shared" si="18"/>
        <v>1</v>
      </c>
    </row>
    <row r="130" spans="1:16" ht="33" customHeight="1" x14ac:dyDescent="0.25">
      <c r="A130" s="2" t="s">
        <v>492</v>
      </c>
      <c r="B130" s="19" t="s">
        <v>61</v>
      </c>
      <c r="C130" s="11" t="s">
        <v>13</v>
      </c>
      <c r="D130" s="11" t="s">
        <v>96</v>
      </c>
      <c r="E130" s="11" t="s">
        <v>98</v>
      </c>
      <c r="F130" s="11" t="s">
        <v>65</v>
      </c>
      <c r="G130" s="11" t="s">
        <v>71</v>
      </c>
      <c r="H130" s="11" t="s">
        <v>100</v>
      </c>
      <c r="I130" s="11" t="s">
        <v>102</v>
      </c>
      <c r="J130" s="11" t="s">
        <v>469</v>
      </c>
      <c r="K130" s="16">
        <v>34.1</v>
      </c>
      <c r="L130" s="11">
        <v>2019</v>
      </c>
      <c r="M130" s="14">
        <f t="shared" si="26"/>
        <v>1037049.2000000001</v>
      </c>
      <c r="N130" s="14">
        <v>1037049.2</v>
      </c>
      <c r="O130" s="14">
        <v>1037049.2</v>
      </c>
      <c r="P130" s="56">
        <f t="shared" si="18"/>
        <v>0.99999999999999989</v>
      </c>
    </row>
    <row r="131" spans="1:16" ht="33" customHeight="1" x14ac:dyDescent="0.25">
      <c r="A131" s="2" t="s">
        <v>492</v>
      </c>
      <c r="B131" s="19" t="s">
        <v>61</v>
      </c>
      <c r="C131" s="11" t="s">
        <v>13</v>
      </c>
      <c r="D131" s="11" t="s">
        <v>96</v>
      </c>
      <c r="E131" s="11" t="s">
        <v>98</v>
      </c>
      <c r="F131" s="11" t="s">
        <v>65</v>
      </c>
      <c r="G131" s="11" t="s">
        <v>71</v>
      </c>
      <c r="H131" s="11" t="s">
        <v>100</v>
      </c>
      <c r="I131" s="11" t="s">
        <v>102</v>
      </c>
      <c r="J131" s="11" t="s">
        <v>469</v>
      </c>
      <c r="K131" s="16">
        <v>34.1</v>
      </c>
      <c r="L131" s="11">
        <v>2019</v>
      </c>
      <c r="M131" s="14">
        <f t="shared" si="26"/>
        <v>1037049.2000000001</v>
      </c>
      <c r="N131" s="14">
        <v>1037049.2</v>
      </c>
      <c r="O131" s="14">
        <v>1037049.2</v>
      </c>
      <c r="P131" s="56">
        <f t="shared" si="18"/>
        <v>0.99999999999999989</v>
      </c>
    </row>
    <row r="132" spans="1:16" ht="33" customHeight="1" x14ac:dyDescent="0.25">
      <c r="A132" s="2" t="s">
        <v>492</v>
      </c>
      <c r="B132" s="19" t="s">
        <v>61</v>
      </c>
      <c r="C132" s="11" t="s">
        <v>13</v>
      </c>
      <c r="D132" s="11" t="s">
        <v>96</v>
      </c>
      <c r="E132" s="11" t="s">
        <v>98</v>
      </c>
      <c r="F132" s="11" t="s">
        <v>65</v>
      </c>
      <c r="G132" s="11" t="s">
        <v>71</v>
      </c>
      <c r="H132" s="11" t="s">
        <v>100</v>
      </c>
      <c r="I132" s="11" t="s">
        <v>102</v>
      </c>
      <c r="J132" s="11" t="s">
        <v>469</v>
      </c>
      <c r="K132" s="16">
        <v>34.1</v>
      </c>
      <c r="L132" s="11">
        <v>2019</v>
      </c>
      <c r="M132" s="14">
        <f t="shared" si="26"/>
        <v>1037049.2000000001</v>
      </c>
      <c r="N132" s="14">
        <v>1037049.2</v>
      </c>
      <c r="O132" s="14">
        <v>1037049.2</v>
      </c>
      <c r="P132" s="56">
        <f t="shared" si="18"/>
        <v>0.99999999999999989</v>
      </c>
    </row>
    <row r="133" spans="1:16" ht="33" customHeight="1" x14ac:dyDescent="0.25">
      <c r="A133" s="2" t="s">
        <v>492</v>
      </c>
      <c r="B133" s="19" t="s">
        <v>61</v>
      </c>
      <c r="C133" s="11" t="s">
        <v>13</v>
      </c>
      <c r="D133" s="11" t="s">
        <v>96</v>
      </c>
      <c r="E133" s="11" t="s">
        <v>98</v>
      </c>
      <c r="F133" s="11" t="s">
        <v>65</v>
      </c>
      <c r="G133" s="11" t="s">
        <v>71</v>
      </c>
      <c r="H133" s="11" t="s">
        <v>100</v>
      </c>
      <c r="I133" s="11" t="s">
        <v>102</v>
      </c>
      <c r="J133" s="11" t="s">
        <v>469</v>
      </c>
      <c r="K133" s="16">
        <v>34.1</v>
      </c>
      <c r="L133" s="11">
        <v>2019</v>
      </c>
      <c r="M133" s="14">
        <f t="shared" si="26"/>
        <v>1037049.2000000001</v>
      </c>
      <c r="N133" s="14">
        <v>1037049.2</v>
      </c>
      <c r="O133" s="14">
        <v>1037049.2</v>
      </c>
      <c r="P133" s="56">
        <f t="shared" si="18"/>
        <v>0.99999999999999989</v>
      </c>
    </row>
    <row r="134" spans="1:16" ht="33" customHeight="1" x14ac:dyDescent="0.25">
      <c r="A134" s="2" t="s">
        <v>492</v>
      </c>
      <c r="B134" s="19" t="s">
        <v>61</v>
      </c>
      <c r="C134" s="11" t="s">
        <v>13</v>
      </c>
      <c r="D134" s="11" t="s">
        <v>96</v>
      </c>
      <c r="E134" s="11" t="s">
        <v>98</v>
      </c>
      <c r="F134" s="11" t="s">
        <v>65</v>
      </c>
      <c r="G134" s="11" t="s">
        <v>71</v>
      </c>
      <c r="H134" s="11" t="s">
        <v>100</v>
      </c>
      <c r="I134" s="11" t="s">
        <v>102</v>
      </c>
      <c r="J134" s="11" t="s">
        <v>469</v>
      </c>
      <c r="K134" s="16">
        <v>34.200000000000003</v>
      </c>
      <c r="L134" s="11">
        <v>2019</v>
      </c>
      <c r="M134" s="14">
        <f t="shared" si="26"/>
        <v>1040090.4000000001</v>
      </c>
      <c r="N134" s="14">
        <v>1040090.4</v>
      </c>
      <c r="O134" s="14">
        <v>1040090.4</v>
      </c>
      <c r="P134" s="56">
        <f t="shared" si="18"/>
        <v>0.99999999999999989</v>
      </c>
    </row>
    <row r="135" spans="1:16" ht="33" customHeight="1" x14ac:dyDescent="0.25">
      <c r="A135" s="2" t="s">
        <v>492</v>
      </c>
      <c r="B135" s="19" t="s">
        <v>61</v>
      </c>
      <c r="C135" s="11" t="s">
        <v>13</v>
      </c>
      <c r="D135" s="11" t="s">
        <v>96</v>
      </c>
      <c r="E135" s="11" t="s">
        <v>98</v>
      </c>
      <c r="F135" s="11" t="s">
        <v>65</v>
      </c>
      <c r="G135" s="11" t="s">
        <v>71</v>
      </c>
      <c r="H135" s="11" t="s">
        <v>100</v>
      </c>
      <c r="I135" s="11" t="s">
        <v>102</v>
      </c>
      <c r="J135" s="11" t="s">
        <v>469</v>
      </c>
      <c r="K135" s="16">
        <v>34.6</v>
      </c>
      <c r="L135" s="11">
        <v>2019</v>
      </c>
      <c r="M135" s="14">
        <f t="shared" si="26"/>
        <v>1052255.2</v>
      </c>
      <c r="N135" s="14">
        <v>1052255.2</v>
      </c>
      <c r="O135" s="14">
        <v>1052255.2</v>
      </c>
      <c r="P135" s="56">
        <f t="shared" ref="P135:P198" si="27">O135/M135</f>
        <v>1</v>
      </c>
    </row>
    <row r="136" spans="1:16" ht="36.75" customHeight="1" x14ac:dyDescent="0.25">
      <c r="A136" s="2" t="s">
        <v>492</v>
      </c>
      <c r="B136" s="19" t="s">
        <v>61</v>
      </c>
      <c r="C136" s="11" t="s">
        <v>13</v>
      </c>
      <c r="D136" s="11" t="s">
        <v>96</v>
      </c>
      <c r="E136" s="11" t="s">
        <v>98</v>
      </c>
      <c r="F136" s="11" t="s">
        <v>65</v>
      </c>
      <c r="G136" s="11" t="s">
        <v>71</v>
      </c>
      <c r="H136" s="11" t="s">
        <v>100</v>
      </c>
      <c r="I136" s="11" t="s">
        <v>102</v>
      </c>
      <c r="J136" s="11" t="s">
        <v>469</v>
      </c>
      <c r="K136" s="16">
        <v>41.9</v>
      </c>
      <c r="L136" s="11">
        <v>2019</v>
      </c>
      <c r="M136" s="14">
        <f t="shared" si="26"/>
        <v>1274262.8</v>
      </c>
      <c r="N136" s="14">
        <v>1274262.8</v>
      </c>
      <c r="O136" s="14">
        <v>1274262.8</v>
      </c>
      <c r="P136" s="56">
        <f t="shared" si="27"/>
        <v>1</v>
      </c>
    </row>
    <row r="137" spans="1:16" ht="31.2" x14ac:dyDescent="0.25">
      <c r="A137" s="2" t="s">
        <v>492</v>
      </c>
      <c r="B137" s="19" t="s">
        <v>61</v>
      </c>
      <c r="C137" s="11" t="s">
        <v>13</v>
      </c>
      <c r="D137" s="11" t="s">
        <v>96</v>
      </c>
      <c r="E137" s="11" t="s">
        <v>98</v>
      </c>
      <c r="F137" s="11" t="s">
        <v>65</v>
      </c>
      <c r="G137" s="11" t="s">
        <v>71</v>
      </c>
      <c r="H137" s="11" t="s">
        <v>100</v>
      </c>
      <c r="I137" s="11" t="s">
        <v>102</v>
      </c>
      <c r="J137" s="11" t="s">
        <v>469</v>
      </c>
      <c r="K137" s="16">
        <v>42</v>
      </c>
      <c r="L137" s="11">
        <v>2019</v>
      </c>
      <c r="M137" s="14">
        <f t="shared" si="26"/>
        <v>1277304</v>
      </c>
      <c r="N137" s="14">
        <v>1277304</v>
      </c>
      <c r="O137" s="14">
        <v>1277304</v>
      </c>
      <c r="P137" s="56">
        <f t="shared" si="27"/>
        <v>1</v>
      </c>
    </row>
    <row r="138" spans="1:16" ht="31.2" x14ac:dyDescent="0.25">
      <c r="A138" s="2" t="s">
        <v>492</v>
      </c>
      <c r="B138" s="19" t="s">
        <v>61</v>
      </c>
      <c r="C138" s="11" t="s">
        <v>13</v>
      </c>
      <c r="D138" s="11" t="s">
        <v>96</v>
      </c>
      <c r="E138" s="11" t="s">
        <v>98</v>
      </c>
      <c r="F138" s="11" t="s">
        <v>65</v>
      </c>
      <c r="G138" s="11" t="s">
        <v>71</v>
      </c>
      <c r="H138" s="11" t="s">
        <v>100</v>
      </c>
      <c r="I138" s="11" t="s">
        <v>102</v>
      </c>
      <c r="J138" s="11" t="s">
        <v>469</v>
      </c>
      <c r="K138" s="16">
        <v>42.8</v>
      </c>
      <c r="L138" s="11">
        <v>2019</v>
      </c>
      <c r="M138" s="14">
        <f t="shared" si="26"/>
        <v>1301633.5999999999</v>
      </c>
      <c r="N138" s="14">
        <v>1301633.6000000001</v>
      </c>
      <c r="O138" s="14">
        <v>1301633.6000000001</v>
      </c>
      <c r="P138" s="56">
        <f t="shared" si="27"/>
        <v>1.0000000000000002</v>
      </c>
    </row>
    <row r="139" spans="1:16" ht="31.2" x14ac:dyDescent="0.25">
      <c r="A139" s="2" t="s">
        <v>492</v>
      </c>
      <c r="B139" s="19" t="s">
        <v>61</v>
      </c>
      <c r="C139" s="11" t="s">
        <v>13</v>
      </c>
      <c r="D139" s="11" t="s">
        <v>96</v>
      </c>
      <c r="E139" s="11" t="s">
        <v>98</v>
      </c>
      <c r="F139" s="11" t="s">
        <v>65</v>
      </c>
      <c r="G139" s="11" t="s">
        <v>71</v>
      </c>
      <c r="H139" s="11" t="s">
        <v>100</v>
      </c>
      <c r="I139" s="11" t="s">
        <v>102</v>
      </c>
      <c r="J139" s="11" t="s">
        <v>469</v>
      </c>
      <c r="K139" s="16">
        <v>42.8</v>
      </c>
      <c r="L139" s="11">
        <v>2019</v>
      </c>
      <c r="M139" s="14">
        <f t="shared" si="26"/>
        <v>1301633.5999999999</v>
      </c>
      <c r="N139" s="14">
        <v>1301633.6000000001</v>
      </c>
      <c r="O139" s="14">
        <v>1301633.6000000001</v>
      </c>
      <c r="P139" s="56">
        <f t="shared" si="27"/>
        <v>1.0000000000000002</v>
      </c>
    </row>
    <row r="140" spans="1:16" ht="31.2" x14ac:dyDescent="0.25">
      <c r="A140" s="2" t="s">
        <v>492</v>
      </c>
      <c r="B140" s="19" t="s">
        <v>61</v>
      </c>
      <c r="C140" s="11" t="s">
        <v>13</v>
      </c>
      <c r="D140" s="11" t="s">
        <v>96</v>
      </c>
      <c r="E140" s="11" t="s">
        <v>98</v>
      </c>
      <c r="F140" s="11" t="s">
        <v>65</v>
      </c>
      <c r="G140" s="11" t="s">
        <v>71</v>
      </c>
      <c r="H140" s="11" t="s">
        <v>100</v>
      </c>
      <c r="I140" s="11" t="s">
        <v>102</v>
      </c>
      <c r="J140" s="11" t="s">
        <v>469</v>
      </c>
      <c r="K140" s="16">
        <v>45.6</v>
      </c>
      <c r="L140" s="11">
        <v>2019</v>
      </c>
      <c r="M140" s="14">
        <f t="shared" si="26"/>
        <v>1386787.2</v>
      </c>
      <c r="N140" s="14">
        <v>1386787.2</v>
      </c>
      <c r="O140" s="14">
        <v>1386787.2</v>
      </c>
      <c r="P140" s="56">
        <f t="shared" si="27"/>
        <v>1</v>
      </c>
    </row>
    <row r="141" spans="1:16" ht="31.2" x14ac:dyDescent="0.25">
      <c r="A141" s="2" t="s">
        <v>493</v>
      </c>
      <c r="B141" s="19" t="s">
        <v>61</v>
      </c>
      <c r="C141" s="11" t="s">
        <v>13</v>
      </c>
      <c r="D141" s="11" t="s">
        <v>96</v>
      </c>
      <c r="E141" s="11" t="s">
        <v>98</v>
      </c>
      <c r="F141" s="11" t="s">
        <v>65</v>
      </c>
      <c r="G141" s="11" t="s">
        <v>71</v>
      </c>
      <c r="H141" s="11" t="s">
        <v>100</v>
      </c>
      <c r="I141" s="11" t="s">
        <v>102</v>
      </c>
      <c r="J141" s="11" t="s">
        <v>469</v>
      </c>
      <c r="K141" s="16">
        <v>51.4</v>
      </c>
      <c r="L141" s="11">
        <v>2019</v>
      </c>
      <c r="M141" s="14">
        <f t="shared" si="26"/>
        <v>1563176.8</v>
      </c>
      <c r="N141" s="14">
        <v>1563176.8</v>
      </c>
      <c r="O141" s="14">
        <v>1563176.8</v>
      </c>
      <c r="P141" s="56">
        <f t="shared" si="27"/>
        <v>1</v>
      </c>
    </row>
    <row r="142" spans="1:16" ht="31.2" x14ac:dyDescent="0.25">
      <c r="A142" s="2" t="s">
        <v>493</v>
      </c>
      <c r="B142" s="19" t="s">
        <v>61</v>
      </c>
      <c r="C142" s="11" t="s">
        <v>13</v>
      </c>
      <c r="D142" s="11" t="s">
        <v>96</v>
      </c>
      <c r="E142" s="11" t="s">
        <v>98</v>
      </c>
      <c r="F142" s="11" t="s">
        <v>65</v>
      </c>
      <c r="G142" s="11" t="s">
        <v>71</v>
      </c>
      <c r="H142" s="11" t="s">
        <v>100</v>
      </c>
      <c r="I142" s="11" t="s">
        <v>102</v>
      </c>
      <c r="J142" s="11" t="s">
        <v>469</v>
      </c>
      <c r="K142" s="16">
        <v>51.5</v>
      </c>
      <c r="L142" s="11">
        <v>2019</v>
      </c>
      <c r="M142" s="14">
        <f t="shared" si="26"/>
        <v>1566218</v>
      </c>
      <c r="N142" s="14">
        <v>1566218</v>
      </c>
      <c r="O142" s="14">
        <v>1566218</v>
      </c>
      <c r="P142" s="56">
        <f t="shared" si="27"/>
        <v>1</v>
      </c>
    </row>
    <row r="143" spans="1:16" ht="31.2" x14ac:dyDescent="0.25">
      <c r="A143" s="2" t="s">
        <v>493</v>
      </c>
      <c r="B143" s="19" t="s">
        <v>61</v>
      </c>
      <c r="C143" s="11" t="s">
        <v>13</v>
      </c>
      <c r="D143" s="11" t="s">
        <v>96</v>
      </c>
      <c r="E143" s="11" t="s">
        <v>98</v>
      </c>
      <c r="F143" s="11" t="s">
        <v>65</v>
      </c>
      <c r="G143" s="11" t="s">
        <v>71</v>
      </c>
      <c r="H143" s="11" t="s">
        <v>100</v>
      </c>
      <c r="I143" s="11" t="s">
        <v>102</v>
      </c>
      <c r="J143" s="11" t="s">
        <v>469</v>
      </c>
      <c r="K143" s="16">
        <v>51.8</v>
      </c>
      <c r="L143" s="11">
        <v>2019</v>
      </c>
      <c r="M143" s="14">
        <f t="shared" si="26"/>
        <v>1575341.5999999999</v>
      </c>
      <c r="N143" s="14">
        <v>1575341.6</v>
      </c>
      <c r="O143" s="14">
        <v>1575341.6</v>
      </c>
      <c r="P143" s="56">
        <f t="shared" si="27"/>
        <v>1.0000000000000002</v>
      </c>
    </row>
    <row r="144" spans="1:16" ht="31.2" x14ac:dyDescent="0.25">
      <c r="A144" s="2" t="s">
        <v>493</v>
      </c>
      <c r="B144" s="19" t="s">
        <v>61</v>
      </c>
      <c r="C144" s="11" t="s">
        <v>13</v>
      </c>
      <c r="D144" s="11" t="s">
        <v>96</v>
      </c>
      <c r="E144" s="11" t="s">
        <v>98</v>
      </c>
      <c r="F144" s="11" t="s">
        <v>65</v>
      </c>
      <c r="G144" s="11" t="s">
        <v>71</v>
      </c>
      <c r="H144" s="11" t="s">
        <v>100</v>
      </c>
      <c r="I144" s="11" t="s">
        <v>102</v>
      </c>
      <c r="J144" s="11" t="s">
        <v>469</v>
      </c>
      <c r="K144" s="16">
        <v>52.1</v>
      </c>
      <c r="L144" s="11">
        <v>2019</v>
      </c>
      <c r="M144" s="14">
        <f t="shared" si="26"/>
        <v>1584465.2</v>
      </c>
      <c r="N144" s="14">
        <v>1584462.2</v>
      </c>
      <c r="O144" s="14">
        <v>1584462.2</v>
      </c>
      <c r="P144" s="56">
        <f t="shared" si="27"/>
        <v>0.99999810661666788</v>
      </c>
    </row>
    <row r="145" spans="1:16" ht="31.2" x14ac:dyDescent="0.25">
      <c r="A145" s="2" t="s">
        <v>493</v>
      </c>
      <c r="B145" s="19" t="s">
        <v>61</v>
      </c>
      <c r="C145" s="11" t="s">
        <v>13</v>
      </c>
      <c r="D145" s="11" t="s">
        <v>96</v>
      </c>
      <c r="E145" s="11" t="s">
        <v>98</v>
      </c>
      <c r="F145" s="11" t="s">
        <v>65</v>
      </c>
      <c r="G145" s="11" t="s">
        <v>71</v>
      </c>
      <c r="H145" s="11" t="s">
        <v>100</v>
      </c>
      <c r="I145" s="11" t="s">
        <v>102</v>
      </c>
      <c r="J145" s="11" t="s">
        <v>469</v>
      </c>
      <c r="K145" s="16">
        <v>52.3</v>
      </c>
      <c r="L145" s="11">
        <v>2019</v>
      </c>
      <c r="M145" s="14">
        <f t="shared" si="26"/>
        <v>1590547.5999999999</v>
      </c>
      <c r="N145" s="14">
        <v>1590547.6</v>
      </c>
      <c r="O145" s="14">
        <v>1590547.6</v>
      </c>
      <c r="P145" s="56">
        <f t="shared" si="27"/>
        <v>1.0000000000000002</v>
      </c>
    </row>
    <row r="146" spans="1:16" ht="31.2" x14ac:dyDescent="0.25">
      <c r="A146" s="2" t="s">
        <v>493</v>
      </c>
      <c r="B146" s="19" t="s">
        <v>61</v>
      </c>
      <c r="C146" s="11" t="s">
        <v>13</v>
      </c>
      <c r="D146" s="11" t="s">
        <v>96</v>
      </c>
      <c r="E146" s="11" t="s">
        <v>98</v>
      </c>
      <c r="F146" s="11" t="s">
        <v>65</v>
      </c>
      <c r="G146" s="11" t="s">
        <v>71</v>
      </c>
      <c r="H146" s="11" t="s">
        <v>100</v>
      </c>
      <c r="I146" s="11" t="s">
        <v>102</v>
      </c>
      <c r="J146" s="11" t="s">
        <v>469</v>
      </c>
      <c r="K146" s="16">
        <v>52.3</v>
      </c>
      <c r="L146" s="11">
        <v>2019</v>
      </c>
      <c r="M146" s="14">
        <f t="shared" si="26"/>
        <v>1590547.5999999999</v>
      </c>
      <c r="N146" s="14">
        <v>1590547.6</v>
      </c>
      <c r="O146" s="14">
        <v>1590547.6</v>
      </c>
      <c r="P146" s="56">
        <f t="shared" si="27"/>
        <v>1.0000000000000002</v>
      </c>
    </row>
    <row r="147" spans="1:16" ht="31.2" x14ac:dyDescent="0.25">
      <c r="A147" s="2" t="s">
        <v>493</v>
      </c>
      <c r="B147" s="19" t="s">
        <v>61</v>
      </c>
      <c r="C147" s="11" t="s">
        <v>13</v>
      </c>
      <c r="D147" s="11" t="s">
        <v>96</v>
      </c>
      <c r="E147" s="11" t="s">
        <v>98</v>
      </c>
      <c r="F147" s="11" t="s">
        <v>65</v>
      </c>
      <c r="G147" s="11" t="s">
        <v>71</v>
      </c>
      <c r="H147" s="11" t="s">
        <v>100</v>
      </c>
      <c r="I147" s="11" t="s">
        <v>102</v>
      </c>
      <c r="J147" s="11" t="s">
        <v>469</v>
      </c>
      <c r="K147" s="16">
        <v>67.900000000000006</v>
      </c>
      <c r="L147" s="11">
        <v>2019</v>
      </c>
      <c r="M147" s="14">
        <f t="shared" si="26"/>
        <v>2064974.8000000003</v>
      </c>
      <c r="N147" s="14">
        <v>2064974.8</v>
      </c>
      <c r="O147" s="14">
        <v>2064974.8</v>
      </c>
      <c r="P147" s="56">
        <f t="shared" si="27"/>
        <v>0.99999999999999989</v>
      </c>
    </row>
    <row r="148" spans="1:16" ht="31.2" x14ac:dyDescent="0.25">
      <c r="A148" s="2" t="s">
        <v>493</v>
      </c>
      <c r="B148" s="19" t="s">
        <v>61</v>
      </c>
      <c r="C148" s="11" t="s">
        <v>13</v>
      </c>
      <c r="D148" s="11" t="s">
        <v>96</v>
      </c>
      <c r="E148" s="11" t="s">
        <v>98</v>
      </c>
      <c r="F148" s="11" t="s">
        <v>65</v>
      </c>
      <c r="G148" s="11" t="s">
        <v>71</v>
      </c>
      <c r="H148" s="11" t="s">
        <v>100</v>
      </c>
      <c r="I148" s="11" t="s">
        <v>102</v>
      </c>
      <c r="J148" s="11" t="s">
        <v>469</v>
      </c>
      <c r="K148" s="16">
        <v>68.2</v>
      </c>
      <c r="L148" s="11">
        <v>2019</v>
      </c>
      <c r="M148" s="14">
        <f t="shared" si="26"/>
        <v>2074098.4000000001</v>
      </c>
      <c r="N148" s="14">
        <v>2074098.4</v>
      </c>
      <c r="O148" s="14">
        <v>2074098.4</v>
      </c>
      <c r="P148" s="56">
        <f t="shared" si="27"/>
        <v>0.99999999999999989</v>
      </c>
    </row>
    <row r="149" spans="1:16" ht="31.2" x14ac:dyDescent="0.25">
      <c r="A149" s="2" t="s">
        <v>493</v>
      </c>
      <c r="B149" s="19" t="s">
        <v>61</v>
      </c>
      <c r="C149" s="11" t="s">
        <v>13</v>
      </c>
      <c r="D149" s="11" t="s">
        <v>96</v>
      </c>
      <c r="E149" s="11" t="s">
        <v>98</v>
      </c>
      <c r="F149" s="11" t="s">
        <v>65</v>
      </c>
      <c r="G149" s="11" t="s">
        <v>71</v>
      </c>
      <c r="H149" s="11" t="s">
        <v>100</v>
      </c>
      <c r="I149" s="11" t="s">
        <v>102</v>
      </c>
      <c r="J149" s="11" t="s">
        <v>469</v>
      </c>
      <c r="K149" s="16">
        <v>72.099999999999994</v>
      </c>
      <c r="L149" s="11">
        <v>2019</v>
      </c>
      <c r="M149" s="14">
        <f t="shared" si="26"/>
        <v>2192705.1999999997</v>
      </c>
      <c r="N149" s="14">
        <v>2192705.2000000002</v>
      </c>
      <c r="O149" s="14">
        <v>2192705.2000000002</v>
      </c>
      <c r="P149" s="56">
        <f t="shared" si="27"/>
        <v>1.0000000000000002</v>
      </c>
    </row>
    <row r="150" spans="1:16" ht="35.25" customHeight="1" x14ac:dyDescent="0.25">
      <c r="A150" s="2" t="s">
        <v>493</v>
      </c>
      <c r="B150" s="19" t="s">
        <v>61</v>
      </c>
      <c r="C150" s="11" t="s">
        <v>13</v>
      </c>
      <c r="D150" s="11" t="s">
        <v>96</v>
      </c>
      <c r="E150" s="11" t="s">
        <v>98</v>
      </c>
      <c r="F150" s="11" t="s">
        <v>65</v>
      </c>
      <c r="G150" s="11" t="s">
        <v>71</v>
      </c>
      <c r="H150" s="11" t="s">
        <v>100</v>
      </c>
      <c r="I150" s="11" t="s">
        <v>102</v>
      </c>
      <c r="J150" s="11" t="s">
        <v>469</v>
      </c>
      <c r="K150" s="16">
        <v>75.7</v>
      </c>
      <c r="L150" s="11">
        <v>2019</v>
      </c>
      <c r="M150" s="14">
        <f t="shared" si="26"/>
        <v>2302188.4</v>
      </c>
      <c r="N150" s="14">
        <v>2302188.4</v>
      </c>
      <c r="O150" s="14">
        <v>2302188.4</v>
      </c>
      <c r="P150" s="56">
        <f t="shared" si="27"/>
        <v>1</v>
      </c>
    </row>
    <row r="151" spans="1:16" s="35" customFormat="1" ht="63.75" customHeight="1" x14ac:dyDescent="0.25">
      <c r="A151" s="37" t="s">
        <v>594</v>
      </c>
      <c r="B151" s="41" t="s">
        <v>61</v>
      </c>
      <c r="C151" s="41" t="s">
        <v>13</v>
      </c>
      <c r="D151" s="41" t="s">
        <v>96</v>
      </c>
      <c r="E151" s="41" t="s">
        <v>98</v>
      </c>
      <c r="F151" s="41" t="s">
        <v>65</v>
      </c>
      <c r="G151" s="41" t="s">
        <v>71</v>
      </c>
      <c r="H151" s="41" t="s">
        <v>100</v>
      </c>
      <c r="I151" s="41" t="s">
        <v>102</v>
      </c>
      <c r="J151" s="41"/>
      <c r="K151" s="47"/>
      <c r="L151" s="41"/>
      <c r="M151" s="42">
        <f>SUM(M152:M154)</f>
        <v>4364122</v>
      </c>
      <c r="N151" s="42">
        <f t="shared" ref="N151:O151" si="28">SUM(N152:N154)</f>
        <v>4364122</v>
      </c>
      <c r="O151" s="42">
        <f t="shared" si="28"/>
        <v>4364122</v>
      </c>
      <c r="P151" s="55">
        <f t="shared" si="27"/>
        <v>1</v>
      </c>
    </row>
    <row r="152" spans="1:16" ht="35.25" customHeight="1" x14ac:dyDescent="0.25">
      <c r="A152" s="2" t="s">
        <v>519</v>
      </c>
      <c r="B152" s="19" t="s">
        <v>61</v>
      </c>
      <c r="C152" s="11" t="s">
        <v>13</v>
      </c>
      <c r="D152" s="11" t="s">
        <v>96</v>
      </c>
      <c r="E152" s="11" t="s">
        <v>98</v>
      </c>
      <c r="F152" s="11" t="s">
        <v>65</v>
      </c>
      <c r="G152" s="11" t="s">
        <v>71</v>
      </c>
      <c r="H152" s="11" t="s">
        <v>100</v>
      </c>
      <c r="I152" s="11" t="s">
        <v>102</v>
      </c>
      <c r="J152" s="11" t="s">
        <v>469</v>
      </c>
      <c r="K152" s="16">
        <v>38.1</v>
      </c>
      <c r="L152" s="11">
        <v>2019</v>
      </c>
      <c r="M152" s="14">
        <f t="shared" si="26"/>
        <v>1158697.2</v>
      </c>
      <c r="N152" s="14">
        <v>1158697.2</v>
      </c>
      <c r="O152" s="14">
        <v>1158697.2</v>
      </c>
      <c r="P152" s="56">
        <f t="shared" si="27"/>
        <v>1</v>
      </c>
    </row>
    <row r="153" spans="1:16" ht="35.25" customHeight="1" x14ac:dyDescent="0.25">
      <c r="A153" s="2" t="s">
        <v>520</v>
      </c>
      <c r="B153" s="19" t="s">
        <v>61</v>
      </c>
      <c r="C153" s="11" t="s">
        <v>13</v>
      </c>
      <c r="D153" s="11" t="s">
        <v>96</v>
      </c>
      <c r="E153" s="11" t="s">
        <v>98</v>
      </c>
      <c r="F153" s="11" t="s">
        <v>65</v>
      </c>
      <c r="G153" s="11" t="s">
        <v>71</v>
      </c>
      <c r="H153" s="11" t="s">
        <v>100</v>
      </c>
      <c r="I153" s="11" t="s">
        <v>102</v>
      </c>
      <c r="J153" s="11" t="s">
        <v>469</v>
      </c>
      <c r="K153" s="16">
        <v>52.6</v>
      </c>
      <c r="L153" s="11">
        <v>2019</v>
      </c>
      <c r="M153" s="14">
        <f t="shared" si="26"/>
        <v>1599671.2</v>
      </c>
      <c r="N153" s="14">
        <v>1599671.2</v>
      </c>
      <c r="O153" s="14">
        <v>1599671.2</v>
      </c>
      <c r="P153" s="56">
        <f t="shared" si="27"/>
        <v>1</v>
      </c>
    </row>
    <row r="154" spans="1:16" ht="35.25" customHeight="1" x14ac:dyDescent="0.25">
      <c r="A154" s="2" t="s">
        <v>520</v>
      </c>
      <c r="B154" s="19" t="s">
        <v>61</v>
      </c>
      <c r="C154" s="11" t="s">
        <v>13</v>
      </c>
      <c r="D154" s="11" t="s">
        <v>96</v>
      </c>
      <c r="E154" s="11" t="s">
        <v>98</v>
      </c>
      <c r="F154" s="11" t="s">
        <v>65</v>
      </c>
      <c r="G154" s="11" t="s">
        <v>71</v>
      </c>
      <c r="H154" s="11" t="s">
        <v>100</v>
      </c>
      <c r="I154" s="11" t="s">
        <v>102</v>
      </c>
      <c r="J154" s="11" t="s">
        <v>469</v>
      </c>
      <c r="K154" s="16">
        <v>52.8</v>
      </c>
      <c r="L154" s="11">
        <v>2019</v>
      </c>
      <c r="M154" s="14">
        <f t="shared" si="26"/>
        <v>1605753.5999999999</v>
      </c>
      <c r="N154" s="14">
        <v>1605753.6</v>
      </c>
      <c r="O154" s="14">
        <v>1605753.6</v>
      </c>
      <c r="P154" s="56">
        <f t="shared" si="27"/>
        <v>1.0000000000000002</v>
      </c>
    </row>
    <row r="155" spans="1:16" s="35" customFormat="1" ht="46.8" x14ac:dyDescent="0.25">
      <c r="A155" s="37" t="s">
        <v>608</v>
      </c>
      <c r="B155" s="41" t="s">
        <v>61</v>
      </c>
      <c r="C155" s="41" t="s">
        <v>13</v>
      </c>
      <c r="D155" s="41" t="s">
        <v>96</v>
      </c>
      <c r="E155" s="41" t="s">
        <v>98</v>
      </c>
      <c r="F155" s="41" t="s">
        <v>65</v>
      </c>
      <c r="G155" s="41" t="s">
        <v>71</v>
      </c>
      <c r="H155" s="41" t="s">
        <v>100</v>
      </c>
      <c r="I155" s="41" t="s">
        <v>102</v>
      </c>
      <c r="J155" s="41"/>
      <c r="K155" s="47"/>
      <c r="L155" s="41"/>
      <c r="M155" s="42">
        <f>M156</f>
        <v>1669618.8</v>
      </c>
      <c r="N155" s="42">
        <f t="shared" ref="N155:O155" si="29">N156</f>
        <v>1669618.8</v>
      </c>
      <c r="O155" s="42">
        <f t="shared" si="29"/>
        <v>1669618.8</v>
      </c>
      <c r="P155" s="55">
        <f t="shared" si="27"/>
        <v>1</v>
      </c>
    </row>
    <row r="156" spans="1:16" ht="31.2" x14ac:dyDescent="0.25">
      <c r="A156" s="2" t="s">
        <v>482</v>
      </c>
      <c r="B156" s="19" t="s">
        <v>61</v>
      </c>
      <c r="C156" s="11" t="s">
        <v>13</v>
      </c>
      <c r="D156" s="11" t="s">
        <v>96</v>
      </c>
      <c r="E156" s="11" t="s">
        <v>98</v>
      </c>
      <c r="F156" s="11" t="s">
        <v>65</v>
      </c>
      <c r="G156" s="11" t="s">
        <v>71</v>
      </c>
      <c r="H156" s="11" t="s">
        <v>100</v>
      </c>
      <c r="I156" s="11" t="s">
        <v>102</v>
      </c>
      <c r="J156" s="11" t="s">
        <v>469</v>
      </c>
      <c r="K156" s="16">
        <v>55.2</v>
      </c>
      <c r="L156" s="11">
        <v>2019</v>
      </c>
      <c r="M156" s="14">
        <f>30412*K156-9123.6</f>
        <v>1669618.8</v>
      </c>
      <c r="N156" s="14">
        <v>1669618.8</v>
      </c>
      <c r="O156" s="14">
        <v>1669618.8</v>
      </c>
      <c r="P156" s="56">
        <f t="shared" si="27"/>
        <v>1</v>
      </c>
    </row>
    <row r="157" spans="1:16" s="35" customFormat="1" ht="46.8" x14ac:dyDescent="0.25">
      <c r="A157" s="50" t="s">
        <v>607</v>
      </c>
      <c r="B157" s="41" t="s">
        <v>61</v>
      </c>
      <c r="C157" s="41" t="s">
        <v>13</v>
      </c>
      <c r="D157" s="41" t="s">
        <v>96</v>
      </c>
      <c r="E157" s="41" t="s">
        <v>98</v>
      </c>
      <c r="F157" s="41" t="s">
        <v>65</v>
      </c>
      <c r="G157" s="41" t="s">
        <v>71</v>
      </c>
      <c r="H157" s="41" t="s">
        <v>100</v>
      </c>
      <c r="I157" s="41" t="s">
        <v>102</v>
      </c>
      <c r="J157" s="41"/>
      <c r="K157" s="47"/>
      <c r="L157" s="41"/>
      <c r="M157" s="42">
        <f>SUM(M158:M164)</f>
        <v>11821144.399999999</v>
      </c>
      <c r="N157" s="42">
        <f t="shared" ref="N157:O157" si="30">SUM(N158:N164)</f>
        <v>11821144.399999999</v>
      </c>
      <c r="O157" s="42">
        <f t="shared" si="30"/>
        <v>11821144.399999999</v>
      </c>
      <c r="P157" s="55">
        <f t="shared" si="27"/>
        <v>1</v>
      </c>
    </row>
    <row r="158" spans="1:16" ht="39.75" customHeight="1" x14ac:dyDescent="0.25">
      <c r="A158" s="2" t="s">
        <v>483</v>
      </c>
      <c r="B158" s="19" t="s">
        <v>61</v>
      </c>
      <c r="C158" s="11" t="s">
        <v>13</v>
      </c>
      <c r="D158" s="11" t="s">
        <v>96</v>
      </c>
      <c r="E158" s="11" t="s">
        <v>98</v>
      </c>
      <c r="F158" s="11" t="s">
        <v>65</v>
      </c>
      <c r="G158" s="11" t="s">
        <v>71</v>
      </c>
      <c r="H158" s="11" t="s">
        <v>100</v>
      </c>
      <c r="I158" s="11" t="s">
        <v>102</v>
      </c>
      <c r="J158" s="11" t="s">
        <v>469</v>
      </c>
      <c r="K158" s="16">
        <v>52</v>
      </c>
      <c r="L158" s="11">
        <v>2019</v>
      </c>
      <c r="M158" s="14">
        <f t="shared" ref="M158:M171" si="31">30412*K158</f>
        <v>1581424</v>
      </c>
      <c r="N158" s="14">
        <v>1581424</v>
      </c>
      <c r="O158" s="14">
        <v>1581424</v>
      </c>
      <c r="P158" s="56">
        <f t="shared" si="27"/>
        <v>1</v>
      </c>
    </row>
    <row r="159" spans="1:16" ht="39" customHeight="1" x14ac:dyDescent="0.25">
      <c r="A159" s="2" t="s">
        <v>483</v>
      </c>
      <c r="B159" s="19" t="s">
        <v>61</v>
      </c>
      <c r="C159" s="11" t="s">
        <v>13</v>
      </c>
      <c r="D159" s="11" t="s">
        <v>96</v>
      </c>
      <c r="E159" s="11" t="s">
        <v>98</v>
      </c>
      <c r="F159" s="11" t="s">
        <v>65</v>
      </c>
      <c r="G159" s="11" t="s">
        <v>71</v>
      </c>
      <c r="H159" s="11" t="s">
        <v>100</v>
      </c>
      <c r="I159" s="11" t="s">
        <v>102</v>
      </c>
      <c r="J159" s="11" t="s">
        <v>469</v>
      </c>
      <c r="K159" s="16">
        <v>56.1</v>
      </c>
      <c r="L159" s="11">
        <v>2019</v>
      </c>
      <c r="M159" s="14">
        <f t="shared" si="31"/>
        <v>1706113.2</v>
      </c>
      <c r="N159" s="14">
        <v>1706113.2</v>
      </c>
      <c r="O159" s="14">
        <v>1706113.2</v>
      </c>
      <c r="P159" s="56">
        <f t="shared" si="27"/>
        <v>1</v>
      </c>
    </row>
    <row r="160" spans="1:16" ht="39" customHeight="1" x14ac:dyDescent="0.25">
      <c r="A160" s="2" t="s">
        <v>483</v>
      </c>
      <c r="B160" s="19" t="s">
        <v>61</v>
      </c>
      <c r="C160" s="11" t="s">
        <v>13</v>
      </c>
      <c r="D160" s="11" t="s">
        <v>96</v>
      </c>
      <c r="E160" s="11" t="s">
        <v>98</v>
      </c>
      <c r="F160" s="11" t="s">
        <v>65</v>
      </c>
      <c r="G160" s="11" t="s">
        <v>71</v>
      </c>
      <c r="H160" s="11" t="s">
        <v>100</v>
      </c>
      <c r="I160" s="11" t="s">
        <v>102</v>
      </c>
      <c r="J160" s="11" t="s">
        <v>469</v>
      </c>
      <c r="K160" s="16">
        <v>56.4</v>
      </c>
      <c r="L160" s="11">
        <v>2019</v>
      </c>
      <c r="M160" s="14">
        <f t="shared" si="31"/>
        <v>1715236.8</v>
      </c>
      <c r="N160" s="14">
        <v>1715236.8</v>
      </c>
      <c r="O160" s="14">
        <v>1715236.8</v>
      </c>
      <c r="P160" s="56">
        <f t="shared" si="27"/>
        <v>1</v>
      </c>
    </row>
    <row r="161" spans="1:16" ht="35.25" customHeight="1" x14ac:dyDescent="0.25">
      <c r="A161" s="2" t="s">
        <v>483</v>
      </c>
      <c r="B161" s="19" t="s">
        <v>61</v>
      </c>
      <c r="C161" s="11" t="s">
        <v>13</v>
      </c>
      <c r="D161" s="11" t="s">
        <v>96</v>
      </c>
      <c r="E161" s="11" t="s">
        <v>98</v>
      </c>
      <c r="F161" s="11" t="s">
        <v>65</v>
      </c>
      <c r="G161" s="11" t="s">
        <v>71</v>
      </c>
      <c r="H161" s="11" t="s">
        <v>100</v>
      </c>
      <c r="I161" s="11" t="s">
        <v>102</v>
      </c>
      <c r="J161" s="11" t="s">
        <v>469</v>
      </c>
      <c r="K161" s="16">
        <v>56.5</v>
      </c>
      <c r="L161" s="11">
        <v>2019</v>
      </c>
      <c r="M161" s="14">
        <f t="shared" si="31"/>
        <v>1718278</v>
      </c>
      <c r="N161" s="14">
        <v>1718278</v>
      </c>
      <c r="O161" s="14">
        <v>1718278</v>
      </c>
      <c r="P161" s="56">
        <f t="shared" si="27"/>
        <v>1</v>
      </c>
    </row>
    <row r="162" spans="1:16" ht="31.2" x14ac:dyDescent="0.25">
      <c r="A162" s="2" t="s">
        <v>483</v>
      </c>
      <c r="B162" s="19" t="s">
        <v>61</v>
      </c>
      <c r="C162" s="11" t="s">
        <v>13</v>
      </c>
      <c r="D162" s="11" t="s">
        <v>96</v>
      </c>
      <c r="E162" s="11" t="s">
        <v>98</v>
      </c>
      <c r="F162" s="11" t="s">
        <v>65</v>
      </c>
      <c r="G162" s="11" t="s">
        <v>71</v>
      </c>
      <c r="H162" s="11" t="s">
        <v>100</v>
      </c>
      <c r="I162" s="11" t="s">
        <v>102</v>
      </c>
      <c r="J162" s="11" t="s">
        <v>469</v>
      </c>
      <c r="K162" s="16">
        <v>56.6</v>
      </c>
      <c r="L162" s="11">
        <v>2019</v>
      </c>
      <c r="M162" s="14">
        <f t="shared" si="31"/>
        <v>1721319.2</v>
      </c>
      <c r="N162" s="14">
        <v>1721319.2</v>
      </c>
      <c r="O162" s="14">
        <v>1721319.2</v>
      </c>
      <c r="P162" s="56">
        <f t="shared" si="27"/>
        <v>1</v>
      </c>
    </row>
    <row r="163" spans="1:16" ht="34.5" customHeight="1" x14ac:dyDescent="0.25">
      <c r="A163" s="2" t="s">
        <v>483</v>
      </c>
      <c r="B163" s="19" t="s">
        <v>61</v>
      </c>
      <c r="C163" s="11" t="s">
        <v>13</v>
      </c>
      <c r="D163" s="11" t="s">
        <v>96</v>
      </c>
      <c r="E163" s="11" t="s">
        <v>98</v>
      </c>
      <c r="F163" s="11" t="s">
        <v>65</v>
      </c>
      <c r="G163" s="11" t="s">
        <v>71</v>
      </c>
      <c r="H163" s="11" t="s">
        <v>100</v>
      </c>
      <c r="I163" s="11" t="s">
        <v>102</v>
      </c>
      <c r="J163" s="11" t="s">
        <v>469</v>
      </c>
      <c r="K163" s="11">
        <v>56.6</v>
      </c>
      <c r="L163" s="11">
        <v>2019</v>
      </c>
      <c r="M163" s="14">
        <f t="shared" si="31"/>
        <v>1721319.2</v>
      </c>
      <c r="N163" s="14">
        <v>1721319.2</v>
      </c>
      <c r="O163" s="14">
        <v>1721319.2</v>
      </c>
      <c r="P163" s="56">
        <f t="shared" si="27"/>
        <v>1</v>
      </c>
    </row>
    <row r="164" spans="1:16" ht="34.5" customHeight="1" x14ac:dyDescent="0.25">
      <c r="A164" s="2" t="s">
        <v>483</v>
      </c>
      <c r="B164" s="19" t="s">
        <v>61</v>
      </c>
      <c r="C164" s="11" t="s">
        <v>13</v>
      </c>
      <c r="D164" s="11" t="s">
        <v>96</v>
      </c>
      <c r="E164" s="11" t="s">
        <v>98</v>
      </c>
      <c r="F164" s="11" t="s">
        <v>65</v>
      </c>
      <c r="G164" s="11" t="s">
        <v>71</v>
      </c>
      <c r="H164" s="11" t="s">
        <v>100</v>
      </c>
      <c r="I164" s="11" t="s">
        <v>102</v>
      </c>
      <c r="J164" s="11" t="s">
        <v>469</v>
      </c>
      <c r="K164" s="16">
        <v>56.8</v>
      </c>
      <c r="L164" s="11">
        <v>2019</v>
      </c>
      <c r="M164" s="14">
        <f>30412*K164-69947.6</f>
        <v>1657453.9999999998</v>
      </c>
      <c r="N164" s="14">
        <v>1657454</v>
      </c>
      <c r="O164" s="14">
        <v>1657454</v>
      </c>
      <c r="P164" s="56">
        <f t="shared" si="27"/>
        <v>1.0000000000000002</v>
      </c>
    </row>
    <row r="165" spans="1:16" s="35" customFormat="1" ht="67.5" customHeight="1" x14ac:dyDescent="0.25">
      <c r="A165" s="37" t="s">
        <v>606</v>
      </c>
      <c r="B165" s="51" t="s">
        <v>61</v>
      </c>
      <c r="C165" s="41" t="s">
        <v>13</v>
      </c>
      <c r="D165" s="41" t="s">
        <v>96</v>
      </c>
      <c r="E165" s="41" t="s">
        <v>98</v>
      </c>
      <c r="F165" s="41" t="s">
        <v>65</v>
      </c>
      <c r="G165" s="41" t="s">
        <v>71</v>
      </c>
      <c r="H165" s="41" t="s">
        <v>100</v>
      </c>
      <c r="I165" s="41" t="s">
        <v>102</v>
      </c>
      <c r="J165" s="41" t="s">
        <v>469</v>
      </c>
      <c r="K165" s="41"/>
      <c r="L165" s="41"/>
      <c r="M165" s="42">
        <f>SUM(M166:M171)</f>
        <v>9619315.5999999996</v>
      </c>
      <c r="N165" s="42">
        <f t="shared" ref="N165:O165" si="32">SUM(N166:N171)</f>
        <v>9619315.5999999996</v>
      </c>
      <c r="O165" s="42">
        <f t="shared" si="32"/>
        <v>9619315.5999999996</v>
      </c>
      <c r="P165" s="55">
        <f t="shared" si="27"/>
        <v>1</v>
      </c>
    </row>
    <row r="166" spans="1:16" ht="34.5" customHeight="1" x14ac:dyDescent="0.25">
      <c r="A166" s="2" t="s">
        <v>577</v>
      </c>
      <c r="B166" s="19" t="s">
        <v>61</v>
      </c>
      <c r="C166" s="11" t="s">
        <v>13</v>
      </c>
      <c r="D166" s="11" t="s">
        <v>96</v>
      </c>
      <c r="E166" s="11" t="s">
        <v>98</v>
      </c>
      <c r="F166" s="11" t="s">
        <v>65</v>
      </c>
      <c r="G166" s="11" t="s">
        <v>71</v>
      </c>
      <c r="H166" s="11" t="s">
        <v>100</v>
      </c>
      <c r="I166" s="11" t="s">
        <v>102</v>
      </c>
      <c r="J166" s="11" t="s">
        <v>469</v>
      </c>
      <c r="K166" s="11">
        <v>51.9</v>
      </c>
      <c r="L166" s="11">
        <v>2019</v>
      </c>
      <c r="M166" s="14">
        <f t="shared" si="31"/>
        <v>1578382.8</v>
      </c>
      <c r="N166" s="14">
        <v>1578382.8</v>
      </c>
      <c r="O166" s="14">
        <v>1578382.8</v>
      </c>
      <c r="P166" s="56">
        <f t="shared" si="27"/>
        <v>1</v>
      </c>
    </row>
    <row r="167" spans="1:16" ht="34.5" customHeight="1" x14ac:dyDescent="0.25">
      <c r="A167" s="2" t="s">
        <v>577</v>
      </c>
      <c r="B167" s="19" t="s">
        <v>61</v>
      </c>
      <c r="C167" s="11" t="s">
        <v>13</v>
      </c>
      <c r="D167" s="11" t="s">
        <v>96</v>
      </c>
      <c r="E167" s="11" t="s">
        <v>98</v>
      </c>
      <c r="F167" s="11" t="s">
        <v>65</v>
      </c>
      <c r="G167" s="11" t="s">
        <v>71</v>
      </c>
      <c r="H167" s="11" t="s">
        <v>100</v>
      </c>
      <c r="I167" s="11" t="s">
        <v>102</v>
      </c>
      <c r="J167" s="11" t="s">
        <v>469</v>
      </c>
      <c r="K167" s="16">
        <v>52</v>
      </c>
      <c r="L167" s="11">
        <v>2019</v>
      </c>
      <c r="M167" s="14">
        <f t="shared" si="31"/>
        <v>1581424</v>
      </c>
      <c r="N167" s="14">
        <v>1581424</v>
      </c>
      <c r="O167" s="14">
        <v>1581424</v>
      </c>
      <c r="P167" s="56">
        <f t="shared" si="27"/>
        <v>1</v>
      </c>
    </row>
    <row r="168" spans="1:16" ht="34.5" customHeight="1" x14ac:dyDescent="0.25">
      <c r="A168" s="2" t="s">
        <v>577</v>
      </c>
      <c r="B168" s="19" t="s">
        <v>61</v>
      </c>
      <c r="C168" s="11" t="s">
        <v>13</v>
      </c>
      <c r="D168" s="11" t="s">
        <v>96</v>
      </c>
      <c r="E168" s="11" t="s">
        <v>98</v>
      </c>
      <c r="F168" s="11" t="s">
        <v>65</v>
      </c>
      <c r="G168" s="11" t="s">
        <v>71</v>
      </c>
      <c r="H168" s="11" t="s">
        <v>100</v>
      </c>
      <c r="I168" s="11" t="s">
        <v>102</v>
      </c>
      <c r="J168" s="11" t="s">
        <v>469</v>
      </c>
      <c r="K168" s="16">
        <v>53</v>
      </c>
      <c r="L168" s="11">
        <v>2019</v>
      </c>
      <c r="M168" s="14">
        <f t="shared" si="31"/>
        <v>1611836</v>
      </c>
      <c r="N168" s="14">
        <v>1611836</v>
      </c>
      <c r="O168" s="14">
        <v>1611836</v>
      </c>
      <c r="P168" s="56">
        <f t="shared" si="27"/>
        <v>1</v>
      </c>
    </row>
    <row r="169" spans="1:16" ht="34.5" customHeight="1" x14ac:dyDescent="0.25">
      <c r="A169" s="2" t="s">
        <v>577</v>
      </c>
      <c r="B169" s="19" t="s">
        <v>61</v>
      </c>
      <c r="C169" s="11" t="s">
        <v>13</v>
      </c>
      <c r="D169" s="11" t="s">
        <v>96</v>
      </c>
      <c r="E169" s="11" t="s">
        <v>98</v>
      </c>
      <c r="F169" s="11" t="s">
        <v>65</v>
      </c>
      <c r="G169" s="11" t="s">
        <v>71</v>
      </c>
      <c r="H169" s="11" t="s">
        <v>100</v>
      </c>
      <c r="I169" s="11" t="s">
        <v>102</v>
      </c>
      <c r="J169" s="11" t="s">
        <v>469</v>
      </c>
      <c r="K169" s="11">
        <v>53.1</v>
      </c>
      <c r="L169" s="11">
        <v>2019</v>
      </c>
      <c r="M169" s="14">
        <f t="shared" si="31"/>
        <v>1614877.2</v>
      </c>
      <c r="N169" s="14">
        <v>1614877.2</v>
      </c>
      <c r="O169" s="14">
        <v>1614877.2</v>
      </c>
      <c r="P169" s="56">
        <f t="shared" si="27"/>
        <v>1</v>
      </c>
    </row>
    <row r="170" spans="1:16" ht="34.5" customHeight="1" x14ac:dyDescent="0.25">
      <c r="A170" s="2" t="s">
        <v>577</v>
      </c>
      <c r="B170" s="19" t="s">
        <v>61</v>
      </c>
      <c r="C170" s="11" t="s">
        <v>13</v>
      </c>
      <c r="D170" s="11" t="s">
        <v>96</v>
      </c>
      <c r="E170" s="11" t="s">
        <v>98</v>
      </c>
      <c r="F170" s="11" t="s">
        <v>65</v>
      </c>
      <c r="G170" s="11" t="s">
        <v>71</v>
      </c>
      <c r="H170" s="11" t="s">
        <v>100</v>
      </c>
      <c r="I170" s="11" t="s">
        <v>102</v>
      </c>
      <c r="J170" s="11" t="s">
        <v>469</v>
      </c>
      <c r="K170" s="11">
        <v>53.1</v>
      </c>
      <c r="L170" s="11">
        <v>2019</v>
      </c>
      <c r="M170" s="14">
        <f t="shared" si="31"/>
        <v>1614877.2</v>
      </c>
      <c r="N170" s="14">
        <v>1614877.2</v>
      </c>
      <c r="O170" s="14">
        <v>1614877.2</v>
      </c>
      <c r="P170" s="56">
        <f t="shared" si="27"/>
        <v>1</v>
      </c>
    </row>
    <row r="171" spans="1:16" ht="34.5" customHeight="1" x14ac:dyDescent="0.25">
      <c r="A171" s="2" t="s">
        <v>577</v>
      </c>
      <c r="B171" s="19" t="s">
        <v>61</v>
      </c>
      <c r="C171" s="11" t="s">
        <v>13</v>
      </c>
      <c r="D171" s="11" t="s">
        <v>96</v>
      </c>
      <c r="E171" s="11" t="s">
        <v>98</v>
      </c>
      <c r="F171" s="11" t="s">
        <v>65</v>
      </c>
      <c r="G171" s="11" t="s">
        <v>71</v>
      </c>
      <c r="H171" s="11" t="s">
        <v>100</v>
      </c>
      <c r="I171" s="11" t="s">
        <v>102</v>
      </c>
      <c r="J171" s="11" t="s">
        <v>469</v>
      </c>
      <c r="K171" s="11">
        <v>53.2</v>
      </c>
      <c r="L171" s="11">
        <v>2019</v>
      </c>
      <c r="M171" s="14">
        <f t="shared" si="31"/>
        <v>1617918.4000000001</v>
      </c>
      <c r="N171" s="14">
        <v>1617918.4</v>
      </c>
      <c r="O171" s="14">
        <v>1617918.4</v>
      </c>
      <c r="P171" s="56">
        <f t="shared" si="27"/>
        <v>0.99999999999999989</v>
      </c>
    </row>
    <row r="172" spans="1:16" s="35" customFormat="1" ht="46.8" x14ac:dyDescent="0.25">
      <c r="A172" s="37" t="s">
        <v>605</v>
      </c>
      <c r="B172" s="52" t="s">
        <v>61</v>
      </c>
      <c r="C172" s="41" t="s">
        <v>13</v>
      </c>
      <c r="D172" s="41" t="s">
        <v>96</v>
      </c>
      <c r="E172" s="41" t="s">
        <v>98</v>
      </c>
      <c r="F172" s="41" t="s">
        <v>65</v>
      </c>
      <c r="G172" s="41" t="s">
        <v>71</v>
      </c>
      <c r="H172" s="41" t="s">
        <v>100</v>
      </c>
      <c r="I172" s="41" t="s">
        <v>102</v>
      </c>
      <c r="J172" s="41"/>
      <c r="K172" s="41"/>
      <c r="L172" s="41"/>
      <c r="M172" s="42">
        <f>SUM(M173:M175)</f>
        <v>5154834</v>
      </c>
      <c r="N172" s="42">
        <f t="shared" ref="N172:O172" si="33">SUM(N173:N175)</f>
        <v>5154834</v>
      </c>
      <c r="O172" s="42">
        <f t="shared" si="33"/>
        <v>5154834</v>
      </c>
      <c r="P172" s="55">
        <f t="shared" si="27"/>
        <v>1</v>
      </c>
    </row>
    <row r="173" spans="1:16" ht="31.2" x14ac:dyDescent="0.25">
      <c r="A173" s="2" t="s">
        <v>484</v>
      </c>
      <c r="B173" s="19" t="s">
        <v>61</v>
      </c>
      <c r="C173" s="11" t="s">
        <v>13</v>
      </c>
      <c r="D173" s="11" t="s">
        <v>96</v>
      </c>
      <c r="E173" s="11" t="s">
        <v>98</v>
      </c>
      <c r="F173" s="11" t="s">
        <v>65</v>
      </c>
      <c r="G173" s="11" t="s">
        <v>71</v>
      </c>
      <c r="H173" s="11" t="s">
        <v>100</v>
      </c>
      <c r="I173" s="11" t="s">
        <v>102</v>
      </c>
      <c r="J173" s="11" t="s">
        <v>469</v>
      </c>
      <c r="K173" s="11">
        <v>56.1</v>
      </c>
      <c r="L173" s="11">
        <v>2019</v>
      </c>
      <c r="M173" s="14">
        <f>30412*K173</f>
        <v>1706113.2</v>
      </c>
      <c r="N173" s="14">
        <v>1706113.2</v>
      </c>
      <c r="O173" s="14">
        <v>1706113.2</v>
      </c>
      <c r="P173" s="56">
        <f t="shared" si="27"/>
        <v>1</v>
      </c>
    </row>
    <row r="174" spans="1:16" ht="31.2" x14ac:dyDescent="0.25">
      <c r="A174" s="2" t="s">
        <v>484</v>
      </c>
      <c r="B174" s="19" t="s">
        <v>61</v>
      </c>
      <c r="C174" s="11" t="s">
        <v>13</v>
      </c>
      <c r="D174" s="11" t="s">
        <v>96</v>
      </c>
      <c r="E174" s="11" t="s">
        <v>98</v>
      </c>
      <c r="F174" s="11" t="s">
        <v>65</v>
      </c>
      <c r="G174" s="11" t="s">
        <v>71</v>
      </c>
      <c r="H174" s="11" t="s">
        <v>100</v>
      </c>
      <c r="I174" s="11" t="s">
        <v>102</v>
      </c>
      <c r="J174" s="11" t="s">
        <v>469</v>
      </c>
      <c r="K174" s="11">
        <v>56.3</v>
      </c>
      <c r="L174" s="11">
        <v>2019</v>
      </c>
      <c r="M174" s="14">
        <f>30412*K174</f>
        <v>1712195.5999999999</v>
      </c>
      <c r="N174" s="14">
        <v>1712195.6</v>
      </c>
      <c r="O174" s="14">
        <v>1712195.6</v>
      </c>
      <c r="P174" s="56">
        <f t="shared" si="27"/>
        <v>1.0000000000000002</v>
      </c>
    </row>
    <row r="175" spans="1:16" ht="31.2" x14ac:dyDescent="0.25">
      <c r="A175" s="2" t="s">
        <v>484</v>
      </c>
      <c r="B175" s="19" t="s">
        <v>61</v>
      </c>
      <c r="C175" s="11" t="s">
        <v>13</v>
      </c>
      <c r="D175" s="11" t="s">
        <v>96</v>
      </c>
      <c r="E175" s="11" t="s">
        <v>98</v>
      </c>
      <c r="F175" s="11" t="s">
        <v>65</v>
      </c>
      <c r="G175" s="11" t="s">
        <v>71</v>
      </c>
      <c r="H175" s="11" t="s">
        <v>100</v>
      </c>
      <c r="I175" s="11" t="s">
        <v>102</v>
      </c>
      <c r="J175" s="11" t="s">
        <v>469</v>
      </c>
      <c r="K175" s="11">
        <v>57.1</v>
      </c>
      <c r="L175" s="11">
        <v>2019</v>
      </c>
      <c r="M175" s="14">
        <f>30412*K175</f>
        <v>1736525.2</v>
      </c>
      <c r="N175" s="14">
        <v>1736525.2</v>
      </c>
      <c r="O175" s="14">
        <v>1736525.2</v>
      </c>
      <c r="P175" s="56">
        <f t="shared" si="27"/>
        <v>1</v>
      </c>
    </row>
    <row r="176" spans="1:16" s="35" customFormat="1" ht="46.8" x14ac:dyDescent="0.25">
      <c r="A176" s="37" t="s">
        <v>604</v>
      </c>
      <c r="B176" s="52" t="s">
        <v>61</v>
      </c>
      <c r="C176" s="41" t="s">
        <v>13</v>
      </c>
      <c r="D176" s="41" t="s">
        <v>96</v>
      </c>
      <c r="E176" s="41" t="s">
        <v>98</v>
      </c>
      <c r="F176" s="41" t="s">
        <v>65</v>
      </c>
      <c r="G176" s="41" t="s">
        <v>71</v>
      </c>
      <c r="H176" s="41" t="s">
        <v>100</v>
      </c>
      <c r="I176" s="41" t="s">
        <v>102</v>
      </c>
      <c r="J176" s="41"/>
      <c r="K176" s="41"/>
      <c r="L176" s="41"/>
      <c r="M176" s="42">
        <f>SUM(M177:M179)</f>
        <v>5784362.4000000004</v>
      </c>
      <c r="N176" s="42">
        <f t="shared" ref="N176:O176" si="34">SUM(N177:N179)</f>
        <v>5784362.4000000004</v>
      </c>
      <c r="O176" s="42">
        <f t="shared" si="34"/>
        <v>5784362.4000000004</v>
      </c>
      <c r="P176" s="55">
        <f t="shared" si="27"/>
        <v>1</v>
      </c>
    </row>
    <row r="177" spans="1:16" ht="31.2" x14ac:dyDescent="0.25">
      <c r="A177" s="2" t="s">
        <v>578</v>
      </c>
      <c r="B177" s="19" t="s">
        <v>61</v>
      </c>
      <c r="C177" s="11" t="s">
        <v>13</v>
      </c>
      <c r="D177" s="11" t="s">
        <v>96</v>
      </c>
      <c r="E177" s="11" t="s">
        <v>98</v>
      </c>
      <c r="F177" s="11" t="s">
        <v>65</v>
      </c>
      <c r="G177" s="11" t="s">
        <v>71</v>
      </c>
      <c r="H177" s="11" t="s">
        <v>100</v>
      </c>
      <c r="I177" s="11" t="s">
        <v>102</v>
      </c>
      <c r="J177" s="11" t="s">
        <v>469</v>
      </c>
      <c r="K177" s="11">
        <v>54.9</v>
      </c>
      <c r="L177" s="11">
        <v>2019</v>
      </c>
      <c r="M177" s="14">
        <f>30412*K177</f>
        <v>1669618.8</v>
      </c>
      <c r="N177" s="14">
        <v>1669618.8</v>
      </c>
      <c r="O177" s="14">
        <v>1669618.8</v>
      </c>
      <c r="P177" s="56">
        <f t="shared" si="27"/>
        <v>1</v>
      </c>
    </row>
    <row r="178" spans="1:16" ht="31.2" x14ac:dyDescent="0.25">
      <c r="A178" s="2" t="s">
        <v>579</v>
      </c>
      <c r="B178" s="19" t="s">
        <v>61</v>
      </c>
      <c r="C178" s="11" t="s">
        <v>13</v>
      </c>
      <c r="D178" s="11" t="s">
        <v>96</v>
      </c>
      <c r="E178" s="11" t="s">
        <v>98</v>
      </c>
      <c r="F178" s="11" t="s">
        <v>65</v>
      </c>
      <c r="G178" s="11" t="s">
        <v>71</v>
      </c>
      <c r="H178" s="11" t="s">
        <v>100</v>
      </c>
      <c r="I178" s="11" t="s">
        <v>102</v>
      </c>
      <c r="J178" s="11" t="s">
        <v>469</v>
      </c>
      <c r="K178" s="11">
        <v>62.8</v>
      </c>
      <c r="L178" s="11">
        <v>2019</v>
      </c>
      <c r="M178" s="14">
        <f>30412*K178</f>
        <v>1909873.5999999999</v>
      </c>
      <c r="N178" s="14">
        <v>1909873.6</v>
      </c>
      <c r="O178" s="14">
        <v>1909873.6</v>
      </c>
      <c r="P178" s="56">
        <f t="shared" si="27"/>
        <v>1.0000000000000002</v>
      </c>
    </row>
    <row r="179" spans="1:16" ht="31.2" x14ac:dyDescent="0.25">
      <c r="A179" s="2" t="s">
        <v>579</v>
      </c>
      <c r="B179" s="19" t="s">
        <v>61</v>
      </c>
      <c r="C179" s="11" t="s">
        <v>13</v>
      </c>
      <c r="D179" s="11" t="s">
        <v>96</v>
      </c>
      <c r="E179" s="11" t="s">
        <v>98</v>
      </c>
      <c r="F179" s="11" t="s">
        <v>65</v>
      </c>
      <c r="G179" s="11" t="s">
        <v>71</v>
      </c>
      <c r="H179" s="11" t="s">
        <v>100</v>
      </c>
      <c r="I179" s="11" t="s">
        <v>102</v>
      </c>
      <c r="J179" s="11" t="s">
        <v>469</v>
      </c>
      <c r="K179" s="11">
        <v>72.5</v>
      </c>
      <c r="L179" s="11">
        <v>2019</v>
      </c>
      <c r="M179" s="14">
        <f>30412*K179</f>
        <v>2204870</v>
      </c>
      <c r="N179" s="14">
        <v>2204870</v>
      </c>
      <c r="O179" s="14">
        <v>2204870</v>
      </c>
      <c r="P179" s="56">
        <f t="shared" si="27"/>
        <v>1</v>
      </c>
    </row>
    <row r="180" spans="1:16" s="35" customFormat="1" ht="69.75" customHeight="1" x14ac:dyDescent="0.25">
      <c r="A180" s="53" t="s">
        <v>603</v>
      </c>
      <c r="B180" s="41" t="s">
        <v>61</v>
      </c>
      <c r="C180" s="41" t="s">
        <v>13</v>
      </c>
      <c r="D180" s="41" t="s">
        <v>96</v>
      </c>
      <c r="E180" s="41" t="s">
        <v>98</v>
      </c>
      <c r="F180" s="41" t="s">
        <v>65</v>
      </c>
      <c r="G180" s="41" t="s">
        <v>71</v>
      </c>
      <c r="H180" s="41" t="s">
        <v>100</v>
      </c>
      <c r="I180" s="41" t="s">
        <v>102</v>
      </c>
      <c r="J180" s="41"/>
      <c r="K180" s="47"/>
      <c r="L180" s="41"/>
      <c r="M180" s="42">
        <f>SUM(M181:M192)</f>
        <v>19871200.799999997</v>
      </c>
      <c r="N180" s="42">
        <f t="shared" ref="N180:O180" si="35">SUM(N181:N192)</f>
        <v>19871200.800000001</v>
      </c>
      <c r="O180" s="42">
        <f t="shared" si="35"/>
        <v>19871200.800000001</v>
      </c>
      <c r="P180" s="55">
        <f t="shared" si="27"/>
        <v>1.0000000000000002</v>
      </c>
    </row>
    <row r="181" spans="1:16" ht="36" customHeight="1" x14ac:dyDescent="0.25">
      <c r="A181" s="13" t="s">
        <v>485</v>
      </c>
      <c r="B181" s="19" t="s">
        <v>61</v>
      </c>
      <c r="C181" s="11" t="s">
        <v>13</v>
      </c>
      <c r="D181" s="11" t="s">
        <v>96</v>
      </c>
      <c r="E181" s="11" t="s">
        <v>98</v>
      </c>
      <c r="F181" s="11" t="s">
        <v>65</v>
      </c>
      <c r="G181" s="11" t="s">
        <v>71</v>
      </c>
      <c r="H181" s="11" t="s">
        <v>100</v>
      </c>
      <c r="I181" s="11" t="s">
        <v>102</v>
      </c>
      <c r="J181" s="11" t="s">
        <v>469</v>
      </c>
      <c r="K181" s="16">
        <v>45</v>
      </c>
      <c r="L181" s="11">
        <v>2019</v>
      </c>
      <c r="M181" s="14">
        <f t="shared" ref="M181:M191" si="36">30412*K181</f>
        <v>1368540</v>
      </c>
      <c r="N181" s="14">
        <v>1368540</v>
      </c>
      <c r="O181" s="14">
        <v>1368540</v>
      </c>
      <c r="P181" s="56">
        <f t="shared" si="27"/>
        <v>1</v>
      </c>
    </row>
    <row r="182" spans="1:16" ht="40.5" customHeight="1" x14ac:dyDescent="0.25">
      <c r="A182" s="13" t="s">
        <v>485</v>
      </c>
      <c r="B182" s="19" t="s">
        <v>61</v>
      </c>
      <c r="C182" s="11" t="s">
        <v>13</v>
      </c>
      <c r="D182" s="11" t="s">
        <v>96</v>
      </c>
      <c r="E182" s="11" t="s">
        <v>98</v>
      </c>
      <c r="F182" s="11" t="s">
        <v>65</v>
      </c>
      <c r="G182" s="11" t="s">
        <v>71</v>
      </c>
      <c r="H182" s="11" t="s">
        <v>100</v>
      </c>
      <c r="I182" s="11" t="s">
        <v>102</v>
      </c>
      <c r="J182" s="11" t="s">
        <v>469</v>
      </c>
      <c r="K182" s="11">
        <v>45.1</v>
      </c>
      <c r="L182" s="11">
        <v>2019</v>
      </c>
      <c r="M182" s="14">
        <f t="shared" si="36"/>
        <v>1371581.2</v>
      </c>
      <c r="N182" s="14">
        <v>1371581.2</v>
      </c>
      <c r="O182" s="14">
        <v>1371581.2</v>
      </c>
      <c r="P182" s="56">
        <f t="shared" si="27"/>
        <v>1</v>
      </c>
    </row>
    <row r="183" spans="1:16" ht="39" customHeight="1" x14ac:dyDescent="0.25">
      <c r="A183" s="13" t="s">
        <v>485</v>
      </c>
      <c r="B183" s="19" t="s">
        <v>61</v>
      </c>
      <c r="C183" s="11" t="s">
        <v>13</v>
      </c>
      <c r="D183" s="11" t="s">
        <v>96</v>
      </c>
      <c r="E183" s="11" t="s">
        <v>98</v>
      </c>
      <c r="F183" s="11" t="s">
        <v>65</v>
      </c>
      <c r="G183" s="11" t="s">
        <v>71</v>
      </c>
      <c r="H183" s="11" t="s">
        <v>100</v>
      </c>
      <c r="I183" s="11" t="s">
        <v>102</v>
      </c>
      <c r="J183" s="11" t="s">
        <v>469</v>
      </c>
      <c r="K183" s="11">
        <v>45.3</v>
      </c>
      <c r="L183" s="11">
        <v>2019</v>
      </c>
      <c r="M183" s="14">
        <f t="shared" si="36"/>
        <v>1377663.5999999999</v>
      </c>
      <c r="N183" s="14">
        <v>1377663.6</v>
      </c>
      <c r="O183" s="14">
        <v>1377663.6</v>
      </c>
      <c r="P183" s="56">
        <f t="shared" si="27"/>
        <v>1.0000000000000002</v>
      </c>
    </row>
    <row r="184" spans="1:16" ht="41.25" customHeight="1" x14ac:dyDescent="0.25">
      <c r="A184" s="13" t="s">
        <v>485</v>
      </c>
      <c r="B184" s="19" t="s">
        <v>61</v>
      </c>
      <c r="C184" s="11" t="s">
        <v>13</v>
      </c>
      <c r="D184" s="11" t="s">
        <v>96</v>
      </c>
      <c r="E184" s="11" t="s">
        <v>98</v>
      </c>
      <c r="F184" s="11" t="s">
        <v>65</v>
      </c>
      <c r="G184" s="11" t="s">
        <v>71</v>
      </c>
      <c r="H184" s="11" t="s">
        <v>100</v>
      </c>
      <c r="I184" s="11" t="s">
        <v>102</v>
      </c>
      <c r="J184" s="11" t="s">
        <v>469</v>
      </c>
      <c r="K184" s="11">
        <v>45.3</v>
      </c>
      <c r="L184" s="11">
        <v>2019</v>
      </c>
      <c r="M184" s="14">
        <f>30412*K184</f>
        <v>1377663.5999999999</v>
      </c>
      <c r="N184" s="14">
        <v>1377663.6</v>
      </c>
      <c r="O184" s="14">
        <v>1377663.6</v>
      </c>
      <c r="P184" s="56">
        <f t="shared" si="27"/>
        <v>1.0000000000000002</v>
      </c>
    </row>
    <row r="185" spans="1:16" ht="37.5" customHeight="1" x14ac:dyDescent="0.25">
      <c r="A185" s="13" t="s">
        <v>485</v>
      </c>
      <c r="B185" s="19" t="s">
        <v>61</v>
      </c>
      <c r="C185" s="11" t="s">
        <v>13</v>
      </c>
      <c r="D185" s="11" t="s">
        <v>96</v>
      </c>
      <c r="E185" s="11" t="s">
        <v>98</v>
      </c>
      <c r="F185" s="11" t="s">
        <v>65</v>
      </c>
      <c r="G185" s="11" t="s">
        <v>71</v>
      </c>
      <c r="H185" s="11" t="s">
        <v>100</v>
      </c>
      <c r="I185" s="11" t="s">
        <v>102</v>
      </c>
      <c r="J185" s="11" t="s">
        <v>469</v>
      </c>
      <c r="K185" s="11">
        <v>45.3</v>
      </c>
      <c r="L185" s="11">
        <v>2019</v>
      </c>
      <c r="M185" s="14">
        <f>30412*K185</f>
        <v>1377663.5999999999</v>
      </c>
      <c r="N185" s="14">
        <v>1377663.6</v>
      </c>
      <c r="O185" s="14">
        <v>1377663.6</v>
      </c>
      <c r="P185" s="56">
        <f t="shared" si="27"/>
        <v>1.0000000000000002</v>
      </c>
    </row>
    <row r="186" spans="1:16" ht="39.75" customHeight="1" x14ac:dyDescent="0.25">
      <c r="A186" s="13" t="s">
        <v>485</v>
      </c>
      <c r="B186" s="19" t="s">
        <v>61</v>
      </c>
      <c r="C186" s="11" t="s">
        <v>13</v>
      </c>
      <c r="D186" s="11" t="s">
        <v>96</v>
      </c>
      <c r="E186" s="11" t="s">
        <v>98</v>
      </c>
      <c r="F186" s="11" t="s">
        <v>65</v>
      </c>
      <c r="G186" s="11" t="s">
        <v>71</v>
      </c>
      <c r="H186" s="11" t="s">
        <v>100</v>
      </c>
      <c r="I186" s="11" t="s">
        <v>102</v>
      </c>
      <c r="J186" s="11" t="s">
        <v>469</v>
      </c>
      <c r="K186" s="11">
        <v>45.4</v>
      </c>
      <c r="L186" s="11">
        <v>2019</v>
      </c>
      <c r="M186" s="14">
        <f>30412*K186</f>
        <v>1380704.8</v>
      </c>
      <c r="N186" s="14">
        <v>1380704.8</v>
      </c>
      <c r="O186" s="14">
        <v>1380704.8</v>
      </c>
      <c r="P186" s="56">
        <f t="shared" si="27"/>
        <v>1</v>
      </c>
    </row>
    <row r="187" spans="1:16" ht="38.25" customHeight="1" x14ac:dyDescent="0.25">
      <c r="A187" s="13" t="s">
        <v>485</v>
      </c>
      <c r="B187" s="19" t="s">
        <v>61</v>
      </c>
      <c r="C187" s="11" t="s">
        <v>13</v>
      </c>
      <c r="D187" s="11" t="s">
        <v>96</v>
      </c>
      <c r="E187" s="11" t="s">
        <v>98</v>
      </c>
      <c r="F187" s="11" t="s">
        <v>65</v>
      </c>
      <c r="G187" s="11" t="s">
        <v>71</v>
      </c>
      <c r="H187" s="11" t="s">
        <v>100</v>
      </c>
      <c r="I187" s="11" t="s">
        <v>102</v>
      </c>
      <c r="J187" s="11" t="s">
        <v>469</v>
      </c>
      <c r="K187" s="11">
        <v>45.6</v>
      </c>
      <c r="L187" s="11">
        <v>2019</v>
      </c>
      <c r="M187" s="14">
        <f>30412*K187</f>
        <v>1386787.2</v>
      </c>
      <c r="N187" s="14">
        <v>1386787.2</v>
      </c>
      <c r="O187" s="14">
        <v>1386787.2</v>
      </c>
      <c r="P187" s="56">
        <f t="shared" si="27"/>
        <v>1</v>
      </c>
    </row>
    <row r="188" spans="1:16" ht="40.5" customHeight="1" x14ac:dyDescent="0.25">
      <c r="A188" s="13" t="s">
        <v>486</v>
      </c>
      <c r="B188" s="19" t="s">
        <v>61</v>
      </c>
      <c r="C188" s="11" t="s">
        <v>13</v>
      </c>
      <c r="D188" s="11" t="s">
        <v>96</v>
      </c>
      <c r="E188" s="11" t="s">
        <v>98</v>
      </c>
      <c r="F188" s="11" t="s">
        <v>65</v>
      </c>
      <c r="G188" s="11" t="s">
        <v>71</v>
      </c>
      <c r="H188" s="11" t="s">
        <v>100</v>
      </c>
      <c r="I188" s="11" t="s">
        <v>102</v>
      </c>
      <c r="J188" s="11" t="s">
        <v>469</v>
      </c>
      <c r="K188" s="11">
        <v>62.4</v>
      </c>
      <c r="L188" s="11">
        <v>2019</v>
      </c>
      <c r="M188" s="14">
        <f t="shared" si="36"/>
        <v>1897708.8</v>
      </c>
      <c r="N188" s="14">
        <v>1897708.8</v>
      </c>
      <c r="O188" s="14">
        <v>1897708.8</v>
      </c>
      <c r="P188" s="56">
        <f t="shared" si="27"/>
        <v>1</v>
      </c>
    </row>
    <row r="189" spans="1:16" ht="36.75" customHeight="1" x14ac:dyDescent="0.25">
      <c r="A189" s="13" t="s">
        <v>486</v>
      </c>
      <c r="B189" s="19" t="s">
        <v>61</v>
      </c>
      <c r="C189" s="11" t="s">
        <v>13</v>
      </c>
      <c r="D189" s="11" t="s">
        <v>96</v>
      </c>
      <c r="E189" s="11" t="s">
        <v>98</v>
      </c>
      <c r="F189" s="11" t="s">
        <v>65</v>
      </c>
      <c r="G189" s="11" t="s">
        <v>71</v>
      </c>
      <c r="H189" s="11" t="s">
        <v>100</v>
      </c>
      <c r="I189" s="11" t="s">
        <v>102</v>
      </c>
      <c r="J189" s="11" t="s">
        <v>469</v>
      </c>
      <c r="K189" s="11">
        <v>62.8</v>
      </c>
      <c r="L189" s="11">
        <v>2019</v>
      </c>
      <c r="M189" s="14">
        <f t="shared" si="36"/>
        <v>1909873.5999999999</v>
      </c>
      <c r="N189" s="14">
        <v>1909873.6</v>
      </c>
      <c r="O189" s="14">
        <v>1909873.6</v>
      </c>
      <c r="P189" s="56">
        <f t="shared" si="27"/>
        <v>1.0000000000000002</v>
      </c>
    </row>
    <row r="190" spans="1:16" ht="38.25" customHeight="1" x14ac:dyDescent="0.25">
      <c r="A190" s="17" t="s">
        <v>486</v>
      </c>
      <c r="B190" s="21" t="s">
        <v>61</v>
      </c>
      <c r="C190" s="18" t="s">
        <v>13</v>
      </c>
      <c r="D190" s="18" t="s">
        <v>96</v>
      </c>
      <c r="E190" s="18" t="s">
        <v>98</v>
      </c>
      <c r="F190" s="18" t="s">
        <v>65</v>
      </c>
      <c r="G190" s="18" t="s">
        <v>71</v>
      </c>
      <c r="H190" s="18" t="s">
        <v>100</v>
      </c>
      <c r="I190" s="18" t="s">
        <v>102</v>
      </c>
      <c r="J190" s="18" t="s">
        <v>469</v>
      </c>
      <c r="K190" s="18">
        <v>63.3</v>
      </c>
      <c r="L190" s="18">
        <v>2019</v>
      </c>
      <c r="M190" s="14">
        <f t="shared" si="36"/>
        <v>1925079.5999999999</v>
      </c>
      <c r="N190" s="14">
        <v>1925079.6</v>
      </c>
      <c r="O190" s="14">
        <v>1925079.6</v>
      </c>
      <c r="P190" s="56">
        <f t="shared" si="27"/>
        <v>1.0000000000000002</v>
      </c>
    </row>
    <row r="191" spans="1:16" ht="39" customHeight="1" x14ac:dyDescent="0.25">
      <c r="A191" s="4" t="s">
        <v>486</v>
      </c>
      <c r="B191" s="21" t="s">
        <v>61</v>
      </c>
      <c r="C191" s="18" t="s">
        <v>13</v>
      </c>
      <c r="D191" s="18" t="s">
        <v>96</v>
      </c>
      <c r="E191" s="18" t="s">
        <v>98</v>
      </c>
      <c r="F191" s="18" t="s">
        <v>65</v>
      </c>
      <c r="G191" s="18" t="s">
        <v>71</v>
      </c>
      <c r="H191" s="18" t="s">
        <v>100</v>
      </c>
      <c r="I191" s="18" t="s">
        <v>102</v>
      </c>
      <c r="J191" s="18" t="s">
        <v>469</v>
      </c>
      <c r="K191" s="22">
        <v>63.8</v>
      </c>
      <c r="L191" s="5">
        <v>2019</v>
      </c>
      <c r="M191" s="23">
        <f t="shared" si="36"/>
        <v>1940285.5999999999</v>
      </c>
      <c r="N191" s="23">
        <v>1940285.6</v>
      </c>
      <c r="O191" s="23">
        <v>1940285.6</v>
      </c>
      <c r="P191" s="56">
        <f t="shared" si="27"/>
        <v>1.0000000000000002</v>
      </c>
    </row>
    <row r="192" spans="1:16" ht="38.25" customHeight="1" x14ac:dyDescent="0.25">
      <c r="A192" s="4" t="s">
        <v>494</v>
      </c>
      <c r="B192" s="5" t="s">
        <v>61</v>
      </c>
      <c r="C192" s="5" t="s">
        <v>13</v>
      </c>
      <c r="D192" s="5" t="s">
        <v>96</v>
      </c>
      <c r="E192" s="5" t="s">
        <v>98</v>
      </c>
      <c r="F192" s="5" t="s">
        <v>65</v>
      </c>
      <c r="G192" s="5" t="s">
        <v>71</v>
      </c>
      <c r="H192" s="5" t="s">
        <v>100</v>
      </c>
      <c r="I192" s="5" t="s">
        <v>102</v>
      </c>
      <c r="J192" s="5" t="s">
        <v>469</v>
      </c>
      <c r="K192" s="5">
        <v>84.1</v>
      </c>
      <c r="L192" s="5">
        <v>2019</v>
      </c>
      <c r="M192" s="23">
        <f>30412*K192</f>
        <v>2557649.1999999997</v>
      </c>
      <c r="N192" s="23">
        <v>2557649.2000000002</v>
      </c>
      <c r="O192" s="23">
        <v>2557649.2000000002</v>
      </c>
      <c r="P192" s="56">
        <f t="shared" si="27"/>
        <v>1.0000000000000002</v>
      </c>
    </row>
    <row r="193" spans="1:16" s="35" customFormat="1" ht="72.75" customHeight="1" x14ac:dyDescent="0.25">
      <c r="A193" s="50" t="s">
        <v>487</v>
      </c>
      <c r="B193" s="54" t="s">
        <v>61</v>
      </c>
      <c r="C193" s="54" t="s">
        <v>13</v>
      </c>
      <c r="D193" s="54" t="s">
        <v>96</v>
      </c>
      <c r="E193" s="54" t="s">
        <v>98</v>
      </c>
      <c r="F193" s="54" t="s">
        <v>65</v>
      </c>
      <c r="G193" s="54" t="s">
        <v>71</v>
      </c>
      <c r="H193" s="54" t="s">
        <v>100</v>
      </c>
      <c r="I193" s="54" t="s">
        <v>102</v>
      </c>
      <c r="J193" s="54"/>
      <c r="K193" s="54"/>
      <c r="L193" s="54"/>
      <c r="M193" s="42">
        <f>SUM(M194:M200)</f>
        <v>12642268.4</v>
      </c>
      <c r="N193" s="42">
        <f t="shared" ref="N193:O193" si="37">SUM(N194:N200)</f>
        <v>12642268.4</v>
      </c>
      <c r="O193" s="42">
        <f t="shared" si="37"/>
        <v>12642268.4</v>
      </c>
      <c r="P193" s="55">
        <f t="shared" si="27"/>
        <v>1</v>
      </c>
    </row>
    <row r="194" spans="1:16" ht="39" customHeight="1" x14ac:dyDescent="0.25">
      <c r="A194" s="13" t="s">
        <v>488</v>
      </c>
      <c r="B194" s="19" t="s">
        <v>61</v>
      </c>
      <c r="C194" s="11" t="s">
        <v>13</v>
      </c>
      <c r="D194" s="11" t="s">
        <v>96</v>
      </c>
      <c r="E194" s="11" t="s">
        <v>98</v>
      </c>
      <c r="F194" s="11" t="s">
        <v>65</v>
      </c>
      <c r="G194" s="11" t="s">
        <v>71</v>
      </c>
      <c r="H194" s="11" t="s">
        <v>100</v>
      </c>
      <c r="I194" s="11" t="s">
        <v>102</v>
      </c>
      <c r="J194" s="11" t="s">
        <v>469</v>
      </c>
      <c r="K194" s="11">
        <v>52.4</v>
      </c>
      <c r="L194" s="11">
        <v>2019</v>
      </c>
      <c r="M194" s="14">
        <f t="shared" ref="M194:M200" si="38">30412*K194</f>
        <v>1593588.8</v>
      </c>
      <c r="N194" s="14">
        <v>1593588.8</v>
      </c>
      <c r="O194" s="14">
        <v>1593588.8</v>
      </c>
      <c r="P194" s="56">
        <f t="shared" si="27"/>
        <v>1</v>
      </c>
    </row>
    <row r="195" spans="1:16" ht="45.75" customHeight="1" x14ac:dyDescent="0.25">
      <c r="A195" s="13" t="s">
        <v>488</v>
      </c>
      <c r="B195" s="19" t="s">
        <v>61</v>
      </c>
      <c r="C195" s="11" t="s">
        <v>13</v>
      </c>
      <c r="D195" s="11" t="s">
        <v>96</v>
      </c>
      <c r="E195" s="11" t="s">
        <v>98</v>
      </c>
      <c r="F195" s="11" t="s">
        <v>65</v>
      </c>
      <c r="G195" s="11" t="s">
        <v>71</v>
      </c>
      <c r="H195" s="11" t="s">
        <v>100</v>
      </c>
      <c r="I195" s="11" t="s">
        <v>102</v>
      </c>
      <c r="J195" s="11" t="s">
        <v>469</v>
      </c>
      <c r="K195" s="11">
        <v>52.4</v>
      </c>
      <c r="L195" s="11">
        <v>2019</v>
      </c>
      <c r="M195" s="14">
        <f t="shared" si="38"/>
        <v>1593588.8</v>
      </c>
      <c r="N195" s="14">
        <v>1593588.8</v>
      </c>
      <c r="O195" s="14">
        <v>1593588.8</v>
      </c>
      <c r="P195" s="56">
        <f t="shared" si="27"/>
        <v>1</v>
      </c>
    </row>
    <row r="196" spans="1:16" ht="40.5" customHeight="1" x14ac:dyDescent="0.25">
      <c r="A196" s="13" t="s">
        <v>488</v>
      </c>
      <c r="B196" s="19" t="s">
        <v>61</v>
      </c>
      <c r="C196" s="11" t="s">
        <v>13</v>
      </c>
      <c r="D196" s="11" t="s">
        <v>96</v>
      </c>
      <c r="E196" s="11" t="s">
        <v>98</v>
      </c>
      <c r="F196" s="11" t="s">
        <v>65</v>
      </c>
      <c r="G196" s="11" t="s">
        <v>71</v>
      </c>
      <c r="H196" s="11" t="s">
        <v>100</v>
      </c>
      <c r="I196" s="11" t="s">
        <v>102</v>
      </c>
      <c r="J196" s="11" t="s">
        <v>469</v>
      </c>
      <c r="K196" s="11">
        <v>57.7</v>
      </c>
      <c r="L196" s="11">
        <v>2019</v>
      </c>
      <c r="M196" s="14">
        <f t="shared" si="38"/>
        <v>1754772.4000000001</v>
      </c>
      <c r="N196" s="14">
        <v>1754772.4</v>
      </c>
      <c r="O196" s="14">
        <v>1754772.4</v>
      </c>
      <c r="P196" s="56">
        <f t="shared" si="27"/>
        <v>0.99999999999999989</v>
      </c>
    </row>
    <row r="197" spans="1:16" ht="40.5" customHeight="1" x14ac:dyDescent="0.25">
      <c r="A197" s="13" t="s">
        <v>495</v>
      </c>
      <c r="B197" s="19" t="s">
        <v>61</v>
      </c>
      <c r="C197" s="11" t="s">
        <v>13</v>
      </c>
      <c r="D197" s="11" t="s">
        <v>96</v>
      </c>
      <c r="E197" s="11" t="s">
        <v>98</v>
      </c>
      <c r="F197" s="11" t="s">
        <v>65</v>
      </c>
      <c r="G197" s="11" t="s">
        <v>71</v>
      </c>
      <c r="H197" s="11" t="s">
        <v>100</v>
      </c>
      <c r="I197" s="11" t="s">
        <v>102</v>
      </c>
      <c r="J197" s="11" t="s">
        <v>469</v>
      </c>
      <c r="K197" s="11">
        <v>63.1</v>
      </c>
      <c r="L197" s="11">
        <v>2019</v>
      </c>
      <c r="M197" s="14">
        <f t="shared" si="38"/>
        <v>1918997.2</v>
      </c>
      <c r="N197" s="14">
        <v>1918997.2</v>
      </c>
      <c r="O197" s="14">
        <v>1918997.2</v>
      </c>
      <c r="P197" s="56">
        <f t="shared" si="27"/>
        <v>1</v>
      </c>
    </row>
    <row r="198" spans="1:16" ht="40.5" customHeight="1" x14ac:dyDescent="0.25">
      <c r="A198" s="13" t="s">
        <v>495</v>
      </c>
      <c r="B198" s="19" t="s">
        <v>61</v>
      </c>
      <c r="C198" s="11" t="s">
        <v>13</v>
      </c>
      <c r="D198" s="11" t="s">
        <v>96</v>
      </c>
      <c r="E198" s="11" t="s">
        <v>98</v>
      </c>
      <c r="F198" s="11" t="s">
        <v>65</v>
      </c>
      <c r="G198" s="11" t="s">
        <v>71</v>
      </c>
      <c r="H198" s="11" t="s">
        <v>100</v>
      </c>
      <c r="I198" s="11" t="s">
        <v>102</v>
      </c>
      <c r="J198" s="11" t="s">
        <v>469</v>
      </c>
      <c r="K198" s="11">
        <v>63.1</v>
      </c>
      <c r="L198" s="11">
        <v>2019</v>
      </c>
      <c r="M198" s="14">
        <f t="shared" si="38"/>
        <v>1918997.2</v>
      </c>
      <c r="N198" s="14">
        <v>1918997.2</v>
      </c>
      <c r="O198" s="14">
        <v>1918997.2</v>
      </c>
      <c r="P198" s="56">
        <f t="shared" si="27"/>
        <v>1</v>
      </c>
    </row>
    <row r="199" spans="1:16" ht="39.75" customHeight="1" x14ac:dyDescent="0.25">
      <c r="A199" s="13" t="s">
        <v>495</v>
      </c>
      <c r="B199" s="19" t="s">
        <v>61</v>
      </c>
      <c r="C199" s="11" t="s">
        <v>13</v>
      </c>
      <c r="D199" s="11" t="s">
        <v>96</v>
      </c>
      <c r="E199" s="11" t="s">
        <v>98</v>
      </c>
      <c r="F199" s="11" t="s">
        <v>65</v>
      </c>
      <c r="G199" s="11" t="s">
        <v>71</v>
      </c>
      <c r="H199" s="11" t="s">
        <v>100</v>
      </c>
      <c r="I199" s="11" t="s">
        <v>102</v>
      </c>
      <c r="J199" s="11" t="s">
        <v>469</v>
      </c>
      <c r="K199" s="11">
        <v>63.4</v>
      </c>
      <c r="L199" s="11">
        <v>2019</v>
      </c>
      <c r="M199" s="14">
        <f t="shared" si="38"/>
        <v>1928120.8</v>
      </c>
      <c r="N199" s="14">
        <v>1928120.8</v>
      </c>
      <c r="O199" s="14">
        <v>1928120.8</v>
      </c>
      <c r="P199" s="56">
        <f t="shared" ref="P199:P244" si="39">O199/M199</f>
        <v>1</v>
      </c>
    </row>
    <row r="200" spans="1:16" ht="39.75" customHeight="1" x14ac:dyDescent="0.25">
      <c r="A200" s="13" t="s">
        <v>495</v>
      </c>
      <c r="B200" s="19" t="s">
        <v>61</v>
      </c>
      <c r="C200" s="11" t="s">
        <v>13</v>
      </c>
      <c r="D200" s="11" t="s">
        <v>96</v>
      </c>
      <c r="E200" s="11" t="s">
        <v>98</v>
      </c>
      <c r="F200" s="11" t="s">
        <v>65</v>
      </c>
      <c r="G200" s="11" t="s">
        <v>71</v>
      </c>
      <c r="H200" s="11" t="s">
        <v>100</v>
      </c>
      <c r="I200" s="11" t="s">
        <v>102</v>
      </c>
      <c r="J200" s="11" t="s">
        <v>469</v>
      </c>
      <c r="K200" s="11">
        <v>63.6</v>
      </c>
      <c r="L200" s="11">
        <v>2019</v>
      </c>
      <c r="M200" s="14">
        <f t="shared" si="38"/>
        <v>1934203.2</v>
      </c>
      <c r="N200" s="14">
        <v>1934203.2</v>
      </c>
      <c r="O200" s="14">
        <v>1934203.2</v>
      </c>
      <c r="P200" s="56">
        <f t="shared" si="39"/>
        <v>1</v>
      </c>
    </row>
    <row r="201" spans="1:16" ht="19.5" customHeight="1" x14ac:dyDescent="0.25">
      <c r="A201" s="20" t="s">
        <v>459</v>
      </c>
      <c r="B201" s="11" t="s">
        <v>61</v>
      </c>
      <c r="C201" s="11" t="s">
        <v>13</v>
      </c>
      <c r="D201" s="11" t="s">
        <v>96</v>
      </c>
      <c r="E201" s="11" t="s">
        <v>98</v>
      </c>
      <c r="F201" s="11" t="s">
        <v>65</v>
      </c>
      <c r="G201" s="11" t="s">
        <v>71</v>
      </c>
      <c r="H201" s="11" t="s">
        <v>100</v>
      </c>
      <c r="I201" s="11" t="s">
        <v>102</v>
      </c>
      <c r="J201" s="12" t="s">
        <v>0</v>
      </c>
      <c r="K201" s="12"/>
      <c r="L201" s="12" t="s">
        <v>0</v>
      </c>
      <c r="M201" s="14">
        <f>318671473.68-M26-M37-M43-M48-M50-M52-M57-M71-M83-M104-M108-M111-M114-M118-M151-M155-M157-M165-M172-M176-M180-M193</f>
        <v>70964821.320000038</v>
      </c>
      <c r="N201" s="14">
        <v>0</v>
      </c>
      <c r="O201" s="14">
        <v>0</v>
      </c>
      <c r="P201" s="56">
        <f t="shared" si="39"/>
        <v>0</v>
      </c>
    </row>
    <row r="202" spans="1:16" s="35" customFormat="1" ht="46.8" x14ac:dyDescent="0.25">
      <c r="A202" s="40" t="s">
        <v>103</v>
      </c>
      <c r="B202" s="41" t="s">
        <v>61</v>
      </c>
      <c r="C202" s="41" t="s">
        <v>13</v>
      </c>
      <c r="D202" s="41" t="s">
        <v>96</v>
      </c>
      <c r="E202" s="41" t="s">
        <v>98</v>
      </c>
      <c r="F202" s="41" t="s">
        <v>65</v>
      </c>
      <c r="G202" s="41" t="s">
        <v>71</v>
      </c>
      <c r="H202" s="41" t="s">
        <v>100</v>
      </c>
      <c r="I202" s="41" t="s">
        <v>104</v>
      </c>
      <c r="J202" s="41" t="s">
        <v>0</v>
      </c>
      <c r="K202" s="41" t="s">
        <v>0</v>
      </c>
      <c r="L202" s="41" t="s">
        <v>0</v>
      </c>
      <c r="M202" s="42">
        <f>M203+M208+M210</f>
        <v>11757279.199999999</v>
      </c>
      <c r="N202" s="42">
        <f t="shared" ref="N202:O202" si="40">N203+N208+N210</f>
        <v>11757279.199999999</v>
      </c>
      <c r="O202" s="42">
        <f t="shared" si="40"/>
        <v>11757279.199999999</v>
      </c>
      <c r="P202" s="55">
        <f t="shared" si="39"/>
        <v>1</v>
      </c>
    </row>
    <row r="203" spans="1:16" s="35" customFormat="1" ht="46.8" x14ac:dyDescent="0.25">
      <c r="A203" s="37" t="s">
        <v>597</v>
      </c>
      <c r="B203" s="41" t="s">
        <v>61</v>
      </c>
      <c r="C203" s="41" t="s">
        <v>13</v>
      </c>
      <c r="D203" s="41" t="s">
        <v>96</v>
      </c>
      <c r="E203" s="41" t="s">
        <v>98</v>
      </c>
      <c r="F203" s="41" t="s">
        <v>65</v>
      </c>
      <c r="G203" s="41" t="s">
        <v>71</v>
      </c>
      <c r="H203" s="41" t="s">
        <v>100</v>
      </c>
      <c r="I203" s="41" t="s">
        <v>104</v>
      </c>
      <c r="J203" s="41"/>
      <c r="K203" s="41"/>
      <c r="L203" s="41"/>
      <c r="M203" s="42">
        <f>SUM(M204:M207)</f>
        <v>6280078</v>
      </c>
      <c r="N203" s="42">
        <f t="shared" ref="N203:O203" si="41">SUM(N204:N207)</f>
        <v>6280078</v>
      </c>
      <c r="O203" s="42">
        <f t="shared" si="41"/>
        <v>6280078</v>
      </c>
      <c r="P203" s="55">
        <f t="shared" si="39"/>
        <v>1</v>
      </c>
    </row>
    <row r="204" spans="1:16" ht="31.2" x14ac:dyDescent="0.25">
      <c r="A204" s="13" t="s">
        <v>504</v>
      </c>
      <c r="B204" s="11" t="s">
        <v>61</v>
      </c>
      <c r="C204" s="11" t="s">
        <v>13</v>
      </c>
      <c r="D204" s="11" t="s">
        <v>96</v>
      </c>
      <c r="E204" s="11" t="s">
        <v>98</v>
      </c>
      <c r="F204" s="11" t="s">
        <v>65</v>
      </c>
      <c r="G204" s="11" t="s">
        <v>71</v>
      </c>
      <c r="H204" s="11" t="s">
        <v>100</v>
      </c>
      <c r="I204" s="11" t="s">
        <v>104</v>
      </c>
      <c r="J204" s="11" t="s">
        <v>469</v>
      </c>
      <c r="K204" s="11">
        <v>37.1</v>
      </c>
      <c r="L204" s="11">
        <v>2019</v>
      </c>
      <c r="M204" s="14">
        <f t="shared" ref="M204:M213" si="42">30412*K204</f>
        <v>1128285.2</v>
      </c>
      <c r="N204" s="14">
        <v>1128285.2</v>
      </c>
      <c r="O204" s="14">
        <v>1128285.2</v>
      </c>
      <c r="P204" s="56">
        <f t="shared" si="39"/>
        <v>1</v>
      </c>
    </row>
    <row r="205" spans="1:16" ht="39" customHeight="1" x14ac:dyDescent="0.25">
      <c r="A205" s="13" t="s">
        <v>504</v>
      </c>
      <c r="B205" s="11" t="s">
        <v>61</v>
      </c>
      <c r="C205" s="11" t="s">
        <v>13</v>
      </c>
      <c r="D205" s="11" t="s">
        <v>96</v>
      </c>
      <c r="E205" s="11" t="s">
        <v>98</v>
      </c>
      <c r="F205" s="11" t="s">
        <v>65</v>
      </c>
      <c r="G205" s="11" t="s">
        <v>71</v>
      </c>
      <c r="H205" s="11" t="s">
        <v>100</v>
      </c>
      <c r="I205" s="11" t="s">
        <v>104</v>
      </c>
      <c r="J205" s="11" t="s">
        <v>469</v>
      </c>
      <c r="K205" s="11">
        <v>41.3</v>
      </c>
      <c r="L205" s="11">
        <v>2019</v>
      </c>
      <c r="M205" s="14">
        <f t="shared" si="42"/>
        <v>1256015.5999999999</v>
      </c>
      <c r="N205" s="14">
        <v>1256015.6000000001</v>
      </c>
      <c r="O205" s="14">
        <v>1256015.6000000001</v>
      </c>
      <c r="P205" s="56">
        <f t="shared" si="39"/>
        <v>1.0000000000000002</v>
      </c>
    </row>
    <row r="206" spans="1:16" ht="37.5" customHeight="1" x14ac:dyDescent="0.25">
      <c r="A206" s="13" t="s">
        <v>505</v>
      </c>
      <c r="B206" s="11" t="s">
        <v>61</v>
      </c>
      <c r="C206" s="11" t="s">
        <v>13</v>
      </c>
      <c r="D206" s="11" t="s">
        <v>96</v>
      </c>
      <c r="E206" s="11" t="s">
        <v>98</v>
      </c>
      <c r="F206" s="11" t="s">
        <v>65</v>
      </c>
      <c r="G206" s="11" t="s">
        <v>71</v>
      </c>
      <c r="H206" s="11" t="s">
        <v>100</v>
      </c>
      <c r="I206" s="11" t="s">
        <v>104</v>
      </c>
      <c r="J206" s="11" t="s">
        <v>469</v>
      </c>
      <c r="K206" s="11">
        <v>55.7</v>
      </c>
      <c r="L206" s="11">
        <v>2019</v>
      </c>
      <c r="M206" s="14">
        <f t="shared" si="42"/>
        <v>1693948.4000000001</v>
      </c>
      <c r="N206" s="14">
        <v>1693948.4</v>
      </c>
      <c r="O206" s="14">
        <v>1693948.4</v>
      </c>
      <c r="P206" s="56">
        <f t="shared" si="39"/>
        <v>0.99999999999999989</v>
      </c>
    </row>
    <row r="207" spans="1:16" ht="39.75" customHeight="1" x14ac:dyDescent="0.25">
      <c r="A207" s="13" t="s">
        <v>506</v>
      </c>
      <c r="B207" s="11" t="s">
        <v>61</v>
      </c>
      <c r="C207" s="11" t="s">
        <v>13</v>
      </c>
      <c r="D207" s="11" t="s">
        <v>96</v>
      </c>
      <c r="E207" s="11" t="s">
        <v>98</v>
      </c>
      <c r="F207" s="11" t="s">
        <v>65</v>
      </c>
      <c r="G207" s="11" t="s">
        <v>71</v>
      </c>
      <c r="H207" s="11" t="s">
        <v>100</v>
      </c>
      <c r="I207" s="11" t="s">
        <v>104</v>
      </c>
      <c r="J207" s="11" t="s">
        <v>469</v>
      </c>
      <c r="K207" s="11">
        <v>72.400000000000006</v>
      </c>
      <c r="L207" s="11">
        <v>2019</v>
      </c>
      <c r="M207" s="14">
        <f t="shared" si="42"/>
        <v>2201828.8000000003</v>
      </c>
      <c r="N207" s="14">
        <v>2201828.7999999998</v>
      </c>
      <c r="O207" s="14">
        <v>2201828.7999999998</v>
      </c>
      <c r="P207" s="56">
        <f t="shared" si="39"/>
        <v>0.99999999999999978</v>
      </c>
    </row>
    <row r="208" spans="1:16" s="35" customFormat="1" ht="65.25" customHeight="1" x14ac:dyDescent="0.25">
      <c r="A208" s="37" t="s">
        <v>596</v>
      </c>
      <c r="B208" s="41" t="s">
        <v>61</v>
      </c>
      <c r="C208" s="41" t="s">
        <v>13</v>
      </c>
      <c r="D208" s="41" t="s">
        <v>96</v>
      </c>
      <c r="E208" s="41" t="s">
        <v>98</v>
      </c>
      <c r="F208" s="41" t="s">
        <v>65</v>
      </c>
      <c r="G208" s="41" t="s">
        <v>71</v>
      </c>
      <c r="H208" s="41" t="s">
        <v>100</v>
      </c>
      <c r="I208" s="41" t="s">
        <v>104</v>
      </c>
      <c r="J208" s="41"/>
      <c r="K208" s="41"/>
      <c r="L208" s="41"/>
      <c r="M208" s="42">
        <f>M209</f>
        <v>1700030.8</v>
      </c>
      <c r="N208" s="42">
        <f t="shared" ref="N208:O208" si="43">N209</f>
        <v>1700030.8</v>
      </c>
      <c r="O208" s="42">
        <f t="shared" si="43"/>
        <v>1700030.8</v>
      </c>
      <c r="P208" s="55">
        <f t="shared" si="39"/>
        <v>1</v>
      </c>
    </row>
    <row r="209" spans="1:16" ht="39.75" customHeight="1" x14ac:dyDescent="0.25">
      <c r="A209" s="13" t="s">
        <v>505</v>
      </c>
      <c r="B209" s="11" t="s">
        <v>61</v>
      </c>
      <c r="C209" s="11" t="s">
        <v>13</v>
      </c>
      <c r="D209" s="11" t="s">
        <v>96</v>
      </c>
      <c r="E209" s="11" t="s">
        <v>98</v>
      </c>
      <c r="F209" s="11" t="s">
        <v>65</v>
      </c>
      <c r="G209" s="11" t="s">
        <v>71</v>
      </c>
      <c r="H209" s="11" t="s">
        <v>100</v>
      </c>
      <c r="I209" s="11" t="s">
        <v>104</v>
      </c>
      <c r="J209" s="11" t="s">
        <v>469</v>
      </c>
      <c r="K209" s="11">
        <v>55.9</v>
      </c>
      <c r="L209" s="11">
        <v>2019</v>
      </c>
      <c r="M209" s="14">
        <f t="shared" si="42"/>
        <v>1700030.8</v>
      </c>
      <c r="N209" s="14">
        <v>1700030.8</v>
      </c>
      <c r="O209" s="14">
        <v>1700030.8</v>
      </c>
      <c r="P209" s="56">
        <f t="shared" si="39"/>
        <v>1</v>
      </c>
    </row>
    <row r="210" spans="1:16" s="35" customFormat="1" ht="79.5" customHeight="1" x14ac:dyDescent="0.25">
      <c r="A210" s="37" t="s">
        <v>595</v>
      </c>
      <c r="B210" s="41" t="s">
        <v>61</v>
      </c>
      <c r="C210" s="41" t="s">
        <v>13</v>
      </c>
      <c r="D210" s="41" t="s">
        <v>96</v>
      </c>
      <c r="E210" s="41" t="s">
        <v>98</v>
      </c>
      <c r="F210" s="41" t="s">
        <v>65</v>
      </c>
      <c r="G210" s="41" t="s">
        <v>71</v>
      </c>
      <c r="H210" s="41" t="s">
        <v>100</v>
      </c>
      <c r="I210" s="41" t="s">
        <v>104</v>
      </c>
      <c r="J210" s="41"/>
      <c r="K210" s="41"/>
      <c r="L210" s="41"/>
      <c r="M210" s="42">
        <f>SUM(M211:M213)</f>
        <v>3777170.4</v>
      </c>
      <c r="N210" s="42">
        <f t="shared" ref="N210:O210" si="44">SUM(N211:N213)</f>
        <v>3777170.4000000004</v>
      </c>
      <c r="O210" s="42">
        <f t="shared" si="44"/>
        <v>3777170.4000000004</v>
      </c>
      <c r="P210" s="55">
        <f t="shared" si="39"/>
        <v>1.0000000000000002</v>
      </c>
    </row>
    <row r="211" spans="1:16" ht="41.25" customHeight="1" x14ac:dyDescent="0.25">
      <c r="A211" s="13" t="s">
        <v>504</v>
      </c>
      <c r="B211" s="11" t="s">
        <v>61</v>
      </c>
      <c r="C211" s="11" t="s">
        <v>13</v>
      </c>
      <c r="D211" s="11" t="s">
        <v>96</v>
      </c>
      <c r="E211" s="11" t="s">
        <v>98</v>
      </c>
      <c r="F211" s="11" t="s">
        <v>65</v>
      </c>
      <c r="G211" s="11" t="s">
        <v>71</v>
      </c>
      <c r="H211" s="11" t="s">
        <v>100</v>
      </c>
      <c r="I211" s="11" t="s">
        <v>104</v>
      </c>
      <c r="J211" s="11" t="s">
        <v>469</v>
      </c>
      <c r="K211" s="11">
        <v>41.3</v>
      </c>
      <c r="L211" s="11">
        <v>2019</v>
      </c>
      <c r="M211" s="14">
        <f t="shared" si="42"/>
        <v>1256015.5999999999</v>
      </c>
      <c r="N211" s="14">
        <v>1256015.6000000001</v>
      </c>
      <c r="O211" s="14">
        <v>1256015.6000000001</v>
      </c>
      <c r="P211" s="56">
        <f t="shared" si="39"/>
        <v>1.0000000000000002</v>
      </c>
    </row>
    <row r="212" spans="1:16" ht="41.25" customHeight="1" x14ac:dyDescent="0.25">
      <c r="A212" s="13" t="s">
        <v>504</v>
      </c>
      <c r="B212" s="11" t="s">
        <v>61</v>
      </c>
      <c r="C212" s="11" t="s">
        <v>13</v>
      </c>
      <c r="D212" s="11" t="s">
        <v>96</v>
      </c>
      <c r="E212" s="11" t="s">
        <v>98</v>
      </c>
      <c r="F212" s="11" t="s">
        <v>65</v>
      </c>
      <c r="G212" s="11" t="s">
        <v>71</v>
      </c>
      <c r="H212" s="11" t="s">
        <v>100</v>
      </c>
      <c r="I212" s="11" t="s">
        <v>104</v>
      </c>
      <c r="J212" s="11" t="s">
        <v>469</v>
      </c>
      <c r="K212" s="11">
        <v>41.4</v>
      </c>
      <c r="L212" s="11">
        <v>2019</v>
      </c>
      <c r="M212" s="14">
        <f t="shared" si="42"/>
        <v>1259056.8</v>
      </c>
      <c r="N212" s="14">
        <v>1259056.8</v>
      </c>
      <c r="O212" s="14">
        <v>1259056.8</v>
      </c>
      <c r="P212" s="56">
        <f t="shared" si="39"/>
        <v>1</v>
      </c>
    </row>
    <row r="213" spans="1:16" ht="40.5" customHeight="1" x14ac:dyDescent="0.25">
      <c r="A213" s="13" t="s">
        <v>504</v>
      </c>
      <c r="B213" s="11" t="s">
        <v>61</v>
      </c>
      <c r="C213" s="11" t="s">
        <v>13</v>
      </c>
      <c r="D213" s="11" t="s">
        <v>96</v>
      </c>
      <c r="E213" s="11" t="s">
        <v>98</v>
      </c>
      <c r="F213" s="11" t="s">
        <v>65</v>
      </c>
      <c r="G213" s="11" t="s">
        <v>71</v>
      </c>
      <c r="H213" s="11" t="s">
        <v>100</v>
      </c>
      <c r="I213" s="11" t="s">
        <v>104</v>
      </c>
      <c r="J213" s="11" t="s">
        <v>469</v>
      </c>
      <c r="K213" s="11">
        <v>41.5</v>
      </c>
      <c r="L213" s="11">
        <v>2019</v>
      </c>
      <c r="M213" s="14">
        <f t="shared" si="42"/>
        <v>1262098</v>
      </c>
      <c r="N213" s="14">
        <v>1262098</v>
      </c>
      <c r="O213" s="14">
        <v>1262098</v>
      </c>
      <c r="P213" s="56">
        <f t="shared" si="39"/>
        <v>1</v>
      </c>
    </row>
    <row r="214" spans="1:16" s="35" customFormat="1" ht="15.6" x14ac:dyDescent="0.25">
      <c r="A214" s="46" t="s">
        <v>66</v>
      </c>
      <c r="B214" s="41" t="s">
        <v>61</v>
      </c>
      <c r="C214" s="41" t="s">
        <v>13</v>
      </c>
      <c r="D214" s="41" t="s">
        <v>96</v>
      </c>
      <c r="E214" s="41" t="s">
        <v>98</v>
      </c>
      <c r="F214" s="41" t="s">
        <v>65</v>
      </c>
      <c r="G214" s="41" t="s">
        <v>28</v>
      </c>
      <c r="H214" s="41" t="s">
        <v>0</v>
      </c>
      <c r="I214" s="41" t="s">
        <v>0</v>
      </c>
      <c r="J214" s="41" t="s">
        <v>0</v>
      </c>
      <c r="K214" s="41" t="s">
        <v>0</v>
      </c>
      <c r="L214" s="41" t="s">
        <v>0</v>
      </c>
      <c r="M214" s="42">
        <f>M215</f>
        <v>11714702.399999999</v>
      </c>
      <c r="N214" s="42">
        <f t="shared" ref="N214:O215" si="45">N215</f>
        <v>11714702.400000002</v>
      </c>
      <c r="O214" s="42">
        <f t="shared" si="45"/>
        <v>11714702.400000002</v>
      </c>
      <c r="P214" s="55">
        <f t="shared" si="39"/>
        <v>1.0000000000000002</v>
      </c>
    </row>
    <row r="215" spans="1:16" s="35" customFormat="1" ht="57" customHeight="1" x14ac:dyDescent="0.25">
      <c r="A215" s="40" t="s">
        <v>99</v>
      </c>
      <c r="B215" s="41" t="s">
        <v>61</v>
      </c>
      <c r="C215" s="41" t="s">
        <v>13</v>
      </c>
      <c r="D215" s="41" t="s">
        <v>96</v>
      </c>
      <c r="E215" s="41" t="s">
        <v>98</v>
      </c>
      <c r="F215" s="41" t="s">
        <v>65</v>
      </c>
      <c r="G215" s="41" t="s">
        <v>28</v>
      </c>
      <c r="H215" s="41" t="s">
        <v>100</v>
      </c>
      <c r="I215" s="43" t="s">
        <v>0</v>
      </c>
      <c r="J215" s="43" t="s">
        <v>0</v>
      </c>
      <c r="K215" s="43" t="s">
        <v>0</v>
      </c>
      <c r="L215" s="43" t="s">
        <v>0</v>
      </c>
      <c r="M215" s="42">
        <f>M216</f>
        <v>11714702.399999999</v>
      </c>
      <c r="N215" s="42">
        <f t="shared" si="45"/>
        <v>11714702.400000002</v>
      </c>
      <c r="O215" s="42">
        <f t="shared" si="45"/>
        <v>11714702.400000002</v>
      </c>
      <c r="P215" s="55">
        <f t="shared" si="39"/>
        <v>1.0000000000000002</v>
      </c>
    </row>
    <row r="216" spans="1:16" s="35" customFormat="1" ht="75" customHeight="1" x14ac:dyDescent="0.25">
      <c r="A216" s="40" t="s">
        <v>103</v>
      </c>
      <c r="B216" s="41" t="s">
        <v>61</v>
      </c>
      <c r="C216" s="41" t="s">
        <v>13</v>
      </c>
      <c r="D216" s="41" t="s">
        <v>96</v>
      </c>
      <c r="E216" s="41" t="s">
        <v>98</v>
      </c>
      <c r="F216" s="41" t="s">
        <v>65</v>
      </c>
      <c r="G216" s="41" t="s">
        <v>28</v>
      </c>
      <c r="H216" s="41" t="s">
        <v>100</v>
      </c>
      <c r="I216" s="41" t="s">
        <v>104</v>
      </c>
      <c r="J216" s="41" t="s">
        <v>0</v>
      </c>
      <c r="K216" s="41" t="s">
        <v>0</v>
      </c>
      <c r="L216" s="41" t="s">
        <v>0</v>
      </c>
      <c r="M216" s="42">
        <f>M217+M223+M226</f>
        <v>11714702.399999999</v>
      </c>
      <c r="N216" s="42">
        <f t="shared" ref="N216:O216" si="46">N217+N223+N226</f>
        <v>11714702.400000002</v>
      </c>
      <c r="O216" s="42">
        <f t="shared" si="46"/>
        <v>11714702.400000002</v>
      </c>
      <c r="P216" s="55">
        <f t="shared" si="39"/>
        <v>1.0000000000000002</v>
      </c>
    </row>
    <row r="217" spans="1:16" s="35" customFormat="1" ht="73.5" customHeight="1" x14ac:dyDescent="0.25">
      <c r="A217" s="37" t="s">
        <v>602</v>
      </c>
      <c r="B217" s="41" t="s">
        <v>61</v>
      </c>
      <c r="C217" s="41" t="s">
        <v>13</v>
      </c>
      <c r="D217" s="41" t="s">
        <v>96</v>
      </c>
      <c r="E217" s="41" t="s">
        <v>98</v>
      </c>
      <c r="F217" s="41" t="s">
        <v>65</v>
      </c>
      <c r="G217" s="41" t="s">
        <v>28</v>
      </c>
      <c r="H217" s="41" t="s">
        <v>100</v>
      </c>
      <c r="I217" s="41" t="s">
        <v>104</v>
      </c>
      <c r="J217" s="41"/>
      <c r="K217" s="41"/>
      <c r="L217" s="41"/>
      <c r="M217" s="42">
        <f>SUM(M218:M222)</f>
        <v>6407808.4000000004</v>
      </c>
      <c r="N217" s="42">
        <f t="shared" ref="N217:O217" si="47">SUM(N218:N222)</f>
        <v>6407808.4000000004</v>
      </c>
      <c r="O217" s="42">
        <f t="shared" si="47"/>
        <v>6407808.4000000004</v>
      </c>
      <c r="P217" s="55">
        <f t="shared" si="39"/>
        <v>1</v>
      </c>
    </row>
    <row r="218" spans="1:16" ht="37.5" customHeight="1" x14ac:dyDescent="0.25">
      <c r="A218" s="13" t="s">
        <v>504</v>
      </c>
      <c r="B218" s="11" t="s">
        <v>61</v>
      </c>
      <c r="C218" s="11" t="s">
        <v>13</v>
      </c>
      <c r="D218" s="11" t="s">
        <v>96</v>
      </c>
      <c r="E218" s="11" t="s">
        <v>98</v>
      </c>
      <c r="F218" s="11" t="s">
        <v>65</v>
      </c>
      <c r="G218" s="11" t="s">
        <v>28</v>
      </c>
      <c r="H218" s="11" t="s">
        <v>100</v>
      </c>
      <c r="I218" s="11" t="s">
        <v>104</v>
      </c>
      <c r="J218" s="11" t="s">
        <v>469</v>
      </c>
      <c r="K218" s="11">
        <v>41.5</v>
      </c>
      <c r="L218" s="11">
        <v>2019</v>
      </c>
      <c r="M218" s="14">
        <f t="shared" ref="M218:M228" si="48">30412*K218</f>
        <v>1262098</v>
      </c>
      <c r="N218" s="14">
        <v>1262098</v>
      </c>
      <c r="O218" s="14">
        <v>1262098</v>
      </c>
      <c r="P218" s="56">
        <f t="shared" si="39"/>
        <v>1</v>
      </c>
    </row>
    <row r="219" spans="1:16" ht="40.5" customHeight="1" x14ac:dyDescent="0.25">
      <c r="A219" s="13" t="s">
        <v>504</v>
      </c>
      <c r="B219" s="11" t="s">
        <v>61</v>
      </c>
      <c r="C219" s="11" t="s">
        <v>13</v>
      </c>
      <c r="D219" s="11" t="s">
        <v>96</v>
      </c>
      <c r="E219" s="11" t="s">
        <v>98</v>
      </c>
      <c r="F219" s="11" t="s">
        <v>65</v>
      </c>
      <c r="G219" s="11" t="s">
        <v>28</v>
      </c>
      <c r="H219" s="11" t="s">
        <v>100</v>
      </c>
      <c r="I219" s="11" t="s">
        <v>104</v>
      </c>
      <c r="J219" s="11" t="s">
        <v>469</v>
      </c>
      <c r="K219" s="11">
        <v>41.6</v>
      </c>
      <c r="L219" s="11">
        <v>2019</v>
      </c>
      <c r="M219" s="14">
        <f t="shared" si="48"/>
        <v>1265139.2</v>
      </c>
      <c r="N219" s="14">
        <v>1265139.2</v>
      </c>
      <c r="O219" s="14">
        <v>1265139.2</v>
      </c>
      <c r="P219" s="56">
        <f t="shared" si="39"/>
        <v>1</v>
      </c>
    </row>
    <row r="220" spans="1:16" ht="36.75" customHeight="1" x14ac:dyDescent="0.25">
      <c r="A220" s="13" t="s">
        <v>504</v>
      </c>
      <c r="B220" s="11" t="s">
        <v>61</v>
      </c>
      <c r="C220" s="11" t="s">
        <v>13</v>
      </c>
      <c r="D220" s="11" t="s">
        <v>96</v>
      </c>
      <c r="E220" s="11" t="s">
        <v>98</v>
      </c>
      <c r="F220" s="11" t="s">
        <v>65</v>
      </c>
      <c r="G220" s="11" t="s">
        <v>28</v>
      </c>
      <c r="H220" s="11" t="s">
        <v>100</v>
      </c>
      <c r="I220" s="11" t="s">
        <v>104</v>
      </c>
      <c r="J220" s="11" t="s">
        <v>469</v>
      </c>
      <c r="K220" s="11">
        <v>41.6</v>
      </c>
      <c r="L220" s="11">
        <v>2019</v>
      </c>
      <c r="M220" s="14">
        <f t="shared" si="48"/>
        <v>1265139.2</v>
      </c>
      <c r="N220" s="14">
        <v>1265139.2</v>
      </c>
      <c r="O220" s="14">
        <v>1265139.2</v>
      </c>
      <c r="P220" s="56">
        <f t="shared" si="39"/>
        <v>1</v>
      </c>
    </row>
    <row r="221" spans="1:16" ht="37.5" customHeight="1" x14ac:dyDescent="0.25">
      <c r="A221" s="13" t="s">
        <v>504</v>
      </c>
      <c r="B221" s="11" t="s">
        <v>61</v>
      </c>
      <c r="C221" s="11" t="s">
        <v>13</v>
      </c>
      <c r="D221" s="11" t="s">
        <v>96</v>
      </c>
      <c r="E221" s="11" t="s">
        <v>98</v>
      </c>
      <c r="F221" s="11" t="s">
        <v>65</v>
      </c>
      <c r="G221" s="11" t="s">
        <v>28</v>
      </c>
      <c r="H221" s="11" t="s">
        <v>100</v>
      </c>
      <c r="I221" s="11" t="s">
        <v>104</v>
      </c>
      <c r="J221" s="11" t="s">
        <v>469</v>
      </c>
      <c r="K221" s="11">
        <v>42.9</v>
      </c>
      <c r="L221" s="11">
        <v>2019</v>
      </c>
      <c r="M221" s="14">
        <f t="shared" si="48"/>
        <v>1304674.8</v>
      </c>
      <c r="N221" s="14">
        <v>1304674.8</v>
      </c>
      <c r="O221" s="14">
        <v>1304674.8</v>
      </c>
      <c r="P221" s="56">
        <f t="shared" si="39"/>
        <v>1</v>
      </c>
    </row>
    <row r="222" spans="1:16" ht="37.5" customHeight="1" x14ac:dyDescent="0.25">
      <c r="A222" s="13" t="s">
        <v>504</v>
      </c>
      <c r="B222" s="11" t="s">
        <v>61</v>
      </c>
      <c r="C222" s="11" t="s">
        <v>13</v>
      </c>
      <c r="D222" s="11" t="s">
        <v>96</v>
      </c>
      <c r="E222" s="11" t="s">
        <v>98</v>
      </c>
      <c r="F222" s="11" t="s">
        <v>65</v>
      </c>
      <c r="G222" s="11" t="s">
        <v>28</v>
      </c>
      <c r="H222" s="11" t="s">
        <v>100</v>
      </c>
      <c r="I222" s="11" t="s">
        <v>104</v>
      </c>
      <c r="J222" s="11" t="s">
        <v>469</v>
      </c>
      <c r="K222" s="11">
        <v>43.1</v>
      </c>
      <c r="L222" s="11">
        <v>2019</v>
      </c>
      <c r="M222" s="14">
        <f t="shared" si="48"/>
        <v>1310757.2</v>
      </c>
      <c r="N222" s="14">
        <v>1310757.2</v>
      </c>
      <c r="O222" s="14">
        <v>1310757.2</v>
      </c>
      <c r="P222" s="56">
        <f t="shared" si="39"/>
        <v>1</v>
      </c>
    </row>
    <row r="223" spans="1:16" s="35" customFormat="1" ht="72.75" customHeight="1" x14ac:dyDescent="0.25">
      <c r="A223" s="37" t="s">
        <v>601</v>
      </c>
      <c r="B223" s="41" t="s">
        <v>61</v>
      </c>
      <c r="C223" s="41" t="s">
        <v>13</v>
      </c>
      <c r="D223" s="41" t="s">
        <v>96</v>
      </c>
      <c r="E223" s="41" t="s">
        <v>98</v>
      </c>
      <c r="F223" s="41" t="s">
        <v>65</v>
      </c>
      <c r="G223" s="41" t="s">
        <v>28</v>
      </c>
      <c r="H223" s="41" t="s">
        <v>100</v>
      </c>
      <c r="I223" s="41" t="s">
        <v>104</v>
      </c>
      <c r="J223" s="41"/>
      <c r="K223" s="41"/>
      <c r="L223" s="41"/>
      <c r="M223" s="42">
        <f>SUM(M224:M225)</f>
        <v>2572855.1999999997</v>
      </c>
      <c r="N223" s="42">
        <f t="shared" ref="N223:O223" si="49">SUM(N224:N225)</f>
        <v>2572855.2000000002</v>
      </c>
      <c r="O223" s="42">
        <f t="shared" si="49"/>
        <v>2572855.2000000002</v>
      </c>
      <c r="P223" s="55">
        <f t="shared" si="39"/>
        <v>1.0000000000000002</v>
      </c>
    </row>
    <row r="224" spans="1:16" ht="40.5" customHeight="1" x14ac:dyDescent="0.25">
      <c r="A224" s="13" t="s">
        <v>504</v>
      </c>
      <c r="B224" s="11" t="s">
        <v>61</v>
      </c>
      <c r="C224" s="11" t="s">
        <v>13</v>
      </c>
      <c r="D224" s="11" t="s">
        <v>96</v>
      </c>
      <c r="E224" s="11" t="s">
        <v>98</v>
      </c>
      <c r="F224" s="11" t="s">
        <v>65</v>
      </c>
      <c r="G224" s="11" t="s">
        <v>28</v>
      </c>
      <c r="H224" s="11" t="s">
        <v>100</v>
      </c>
      <c r="I224" s="11" t="s">
        <v>104</v>
      </c>
      <c r="J224" s="11" t="s">
        <v>469</v>
      </c>
      <c r="K224" s="11">
        <v>41.3</v>
      </c>
      <c r="L224" s="11">
        <v>2019</v>
      </c>
      <c r="M224" s="14">
        <f t="shared" si="48"/>
        <v>1256015.5999999999</v>
      </c>
      <c r="N224" s="14">
        <v>1256015.6000000001</v>
      </c>
      <c r="O224" s="14">
        <v>1256015.6000000001</v>
      </c>
      <c r="P224" s="56">
        <f t="shared" si="39"/>
        <v>1.0000000000000002</v>
      </c>
    </row>
    <row r="225" spans="1:16" ht="39.75" customHeight="1" x14ac:dyDescent="0.25">
      <c r="A225" s="13" t="s">
        <v>504</v>
      </c>
      <c r="B225" s="11" t="s">
        <v>61</v>
      </c>
      <c r="C225" s="11" t="s">
        <v>13</v>
      </c>
      <c r="D225" s="11" t="s">
        <v>96</v>
      </c>
      <c r="E225" s="11" t="s">
        <v>98</v>
      </c>
      <c r="F225" s="11" t="s">
        <v>65</v>
      </c>
      <c r="G225" s="11" t="s">
        <v>28</v>
      </c>
      <c r="H225" s="11" t="s">
        <v>100</v>
      </c>
      <c r="I225" s="11" t="s">
        <v>104</v>
      </c>
      <c r="J225" s="11" t="s">
        <v>469</v>
      </c>
      <c r="K225" s="11">
        <v>43.3</v>
      </c>
      <c r="L225" s="11">
        <v>2019</v>
      </c>
      <c r="M225" s="14">
        <f t="shared" si="48"/>
        <v>1316839.5999999999</v>
      </c>
      <c r="N225" s="14">
        <v>1316839.6000000001</v>
      </c>
      <c r="O225" s="14">
        <v>1316839.6000000001</v>
      </c>
      <c r="P225" s="56">
        <f t="shared" si="39"/>
        <v>1.0000000000000002</v>
      </c>
    </row>
    <row r="226" spans="1:16" s="35" customFormat="1" ht="76.5" customHeight="1" x14ac:dyDescent="0.25">
      <c r="A226" s="37" t="s">
        <v>600</v>
      </c>
      <c r="B226" s="41" t="s">
        <v>61</v>
      </c>
      <c r="C226" s="41" t="s">
        <v>13</v>
      </c>
      <c r="D226" s="41" t="s">
        <v>96</v>
      </c>
      <c r="E226" s="41" t="s">
        <v>98</v>
      </c>
      <c r="F226" s="41" t="s">
        <v>65</v>
      </c>
      <c r="G226" s="41" t="s">
        <v>28</v>
      </c>
      <c r="H226" s="41" t="s">
        <v>100</v>
      </c>
      <c r="I226" s="41" t="s">
        <v>104</v>
      </c>
      <c r="J226" s="41"/>
      <c r="K226" s="41"/>
      <c r="L226" s="41"/>
      <c r="M226" s="42">
        <f>SUM(M227:M228)</f>
        <v>2734038.8</v>
      </c>
      <c r="N226" s="42">
        <f t="shared" ref="N226:O226" si="50">SUM(N227:N228)</f>
        <v>2734038.8</v>
      </c>
      <c r="O226" s="42">
        <f t="shared" si="50"/>
        <v>2734038.8</v>
      </c>
      <c r="P226" s="55">
        <f t="shared" si="39"/>
        <v>1</v>
      </c>
    </row>
    <row r="227" spans="1:16" ht="39" customHeight="1" x14ac:dyDescent="0.25">
      <c r="A227" s="2" t="s">
        <v>519</v>
      </c>
      <c r="B227" s="11" t="s">
        <v>61</v>
      </c>
      <c r="C227" s="11" t="s">
        <v>13</v>
      </c>
      <c r="D227" s="11" t="s">
        <v>96</v>
      </c>
      <c r="E227" s="11" t="s">
        <v>98</v>
      </c>
      <c r="F227" s="11" t="s">
        <v>65</v>
      </c>
      <c r="G227" s="11" t="s">
        <v>28</v>
      </c>
      <c r="H227" s="11" t="s">
        <v>100</v>
      </c>
      <c r="I227" s="11" t="s">
        <v>104</v>
      </c>
      <c r="J227" s="11" t="s">
        <v>469</v>
      </c>
      <c r="K227" s="11">
        <v>38.5</v>
      </c>
      <c r="L227" s="11">
        <v>2019</v>
      </c>
      <c r="M227" s="14">
        <f t="shared" si="48"/>
        <v>1170862</v>
      </c>
      <c r="N227" s="14">
        <v>1170862</v>
      </c>
      <c r="O227" s="14">
        <v>1170862</v>
      </c>
      <c r="P227" s="56">
        <f t="shared" si="39"/>
        <v>1</v>
      </c>
    </row>
    <row r="228" spans="1:16" ht="36.75" customHeight="1" x14ac:dyDescent="0.25">
      <c r="A228" s="2" t="s">
        <v>520</v>
      </c>
      <c r="B228" s="11" t="s">
        <v>61</v>
      </c>
      <c r="C228" s="11" t="s">
        <v>13</v>
      </c>
      <c r="D228" s="11" t="s">
        <v>96</v>
      </c>
      <c r="E228" s="11" t="s">
        <v>98</v>
      </c>
      <c r="F228" s="11" t="s">
        <v>65</v>
      </c>
      <c r="G228" s="11" t="s">
        <v>28</v>
      </c>
      <c r="H228" s="11" t="s">
        <v>100</v>
      </c>
      <c r="I228" s="11" t="s">
        <v>104</v>
      </c>
      <c r="J228" s="11" t="s">
        <v>469</v>
      </c>
      <c r="K228" s="11">
        <v>51.4</v>
      </c>
      <c r="L228" s="11">
        <v>2019</v>
      </c>
      <c r="M228" s="14">
        <f t="shared" si="48"/>
        <v>1563176.8</v>
      </c>
      <c r="N228" s="14">
        <v>1563176.8</v>
      </c>
      <c r="O228" s="14">
        <v>1563176.8</v>
      </c>
      <c r="P228" s="56">
        <f t="shared" si="39"/>
        <v>1</v>
      </c>
    </row>
    <row r="229" spans="1:16" s="35" customFormat="1" ht="32.25" customHeight="1" x14ac:dyDescent="0.25">
      <c r="A229" s="46" t="s">
        <v>105</v>
      </c>
      <c r="B229" s="41" t="s">
        <v>61</v>
      </c>
      <c r="C229" s="41" t="s">
        <v>13</v>
      </c>
      <c r="D229" s="41" t="s">
        <v>96</v>
      </c>
      <c r="E229" s="41" t="s">
        <v>98</v>
      </c>
      <c r="F229" s="41" t="s">
        <v>65</v>
      </c>
      <c r="G229" s="41" t="s">
        <v>106</v>
      </c>
      <c r="H229" s="41" t="s">
        <v>0</v>
      </c>
      <c r="I229" s="41" t="s">
        <v>0</v>
      </c>
      <c r="J229" s="41" t="s">
        <v>0</v>
      </c>
      <c r="K229" s="41" t="s">
        <v>0</v>
      </c>
      <c r="L229" s="41" t="s">
        <v>0</v>
      </c>
      <c r="M229" s="42">
        <f>M230</f>
        <v>4802054.8</v>
      </c>
      <c r="N229" s="42">
        <f t="shared" ref="N229:O231" si="51">N230</f>
        <v>4802054.8</v>
      </c>
      <c r="O229" s="42">
        <f t="shared" si="51"/>
        <v>4802054.8</v>
      </c>
      <c r="P229" s="55">
        <f t="shared" si="39"/>
        <v>1</v>
      </c>
    </row>
    <row r="230" spans="1:16" s="35" customFormat="1" ht="61.5" customHeight="1" x14ac:dyDescent="0.25">
      <c r="A230" s="40" t="s">
        <v>99</v>
      </c>
      <c r="B230" s="41" t="s">
        <v>61</v>
      </c>
      <c r="C230" s="41" t="s">
        <v>13</v>
      </c>
      <c r="D230" s="41" t="s">
        <v>96</v>
      </c>
      <c r="E230" s="41" t="s">
        <v>98</v>
      </c>
      <c r="F230" s="41" t="s">
        <v>65</v>
      </c>
      <c r="G230" s="41" t="s">
        <v>106</v>
      </c>
      <c r="H230" s="41" t="s">
        <v>100</v>
      </c>
      <c r="I230" s="43" t="s">
        <v>0</v>
      </c>
      <c r="J230" s="43" t="s">
        <v>0</v>
      </c>
      <c r="K230" s="43" t="s">
        <v>0</v>
      </c>
      <c r="L230" s="43" t="s">
        <v>0</v>
      </c>
      <c r="M230" s="42">
        <f>M231</f>
        <v>4802054.8</v>
      </c>
      <c r="N230" s="42">
        <f t="shared" si="51"/>
        <v>4802054.8</v>
      </c>
      <c r="O230" s="42">
        <f t="shared" si="51"/>
        <v>4802054.8</v>
      </c>
      <c r="P230" s="55">
        <f t="shared" si="39"/>
        <v>1</v>
      </c>
    </row>
    <row r="231" spans="1:16" s="35" customFormat="1" ht="71.25" customHeight="1" x14ac:dyDescent="0.25">
      <c r="A231" s="40" t="s">
        <v>103</v>
      </c>
      <c r="B231" s="41" t="s">
        <v>61</v>
      </c>
      <c r="C231" s="41" t="s">
        <v>13</v>
      </c>
      <c r="D231" s="41" t="s">
        <v>96</v>
      </c>
      <c r="E231" s="41" t="s">
        <v>98</v>
      </c>
      <c r="F231" s="41" t="s">
        <v>65</v>
      </c>
      <c r="G231" s="41" t="s">
        <v>106</v>
      </c>
      <c r="H231" s="41" t="s">
        <v>100</v>
      </c>
      <c r="I231" s="41" t="s">
        <v>104</v>
      </c>
      <c r="J231" s="41" t="s">
        <v>0</v>
      </c>
      <c r="K231" s="41" t="s">
        <v>0</v>
      </c>
      <c r="L231" s="41" t="s">
        <v>0</v>
      </c>
      <c r="M231" s="42">
        <f>M232</f>
        <v>4802054.8</v>
      </c>
      <c r="N231" s="42">
        <f t="shared" si="51"/>
        <v>4802054.8</v>
      </c>
      <c r="O231" s="42">
        <f t="shared" si="51"/>
        <v>4802054.8</v>
      </c>
      <c r="P231" s="55">
        <f t="shared" si="39"/>
        <v>1</v>
      </c>
    </row>
    <row r="232" spans="1:16" s="35" customFormat="1" ht="66" customHeight="1" x14ac:dyDescent="0.25">
      <c r="A232" s="37" t="s">
        <v>599</v>
      </c>
      <c r="B232" s="41" t="s">
        <v>61</v>
      </c>
      <c r="C232" s="41" t="s">
        <v>13</v>
      </c>
      <c r="D232" s="41" t="s">
        <v>96</v>
      </c>
      <c r="E232" s="41" t="s">
        <v>98</v>
      </c>
      <c r="F232" s="41" t="s">
        <v>65</v>
      </c>
      <c r="G232" s="41" t="s">
        <v>106</v>
      </c>
      <c r="H232" s="41" t="s">
        <v>100</v>
      </c>
      <c r="I232" s="41" t="s">
        <v>104</v>
      </c>
      <c r="J232" s="41"/>
      <c r="K232" s="41"/>
      <c r="L232" s="41"/>
      <c r="M232" s="42">
        <f>SUM(M233:M235)</f>
        <v>4802054.8</v>
      </c>
      <c r="N232" s="42">
        <f t="shared" ref="N232:O232" si="52">SUM(N233:N235)</f>
        <v>4802054.8</v>
      </c>
      <c r="O232" s="42">
        <f t="shared" si="52"/>
        <v>4802054.8</v>
      </c>
      <c r="P232" s="55">
        <f t="shared" si="39"/>
        <v>1</v>
      </c>
    </row>
    <row r="233" spans="1:16" ht="33.75" customHeight="1" x14ac:dyDescent="0.25">
      <c r="A233" s="13" t="s">
        <v>504</v>
      </c>
      <c r="B233" s="11" t="s">
        <v>61</v>
      </c>
      <c r="C233" s="11" t="s">
        <v>13</v>
      </c>
      <c r="D233" s="11" t="s">
        <v>96</v>
      </c>
      <c r="E233" s="11" t="s">
        <v>98</v>
      </c>
      <c r="F233" s="11" t="s">
        <v>65</v>
      </c>
      <c r="G233" s="11" t="s">
        <v>106</v>
      </c>
      <c r="H233" s="11" t="s">
        <v>100</v>
      </c>
      <c r="I233" s="11" t="s">
        <v>104</v>
      </c>
      <c r="J233" s="11" t="s">
        <v>469</v>
      </c>
      <c r="K233" s="11">
        <v>42.5</v>
      </c>
      <c r="L233" s="11">
        <v>2019</v>
      </c>
      <c r="M233" s="14">
        <f>30412*K233</f>
        <v>1292510</v>
      </c>
      <c r="N233" s="14">
        <v>1292510</v>
      </c>
      <c r="O233" s="14">
        <v>1292510</v>
      </c>
      <c r="P233" s="56">
        <f t="shared" si="39"/>
        <v>1</v>
      </c>
    </row>
    <row r="234" spans="1:16" ht="38.25" customHeight="1" x14ac:dyDescent="0.25">
      <c r="A234" s="13" t="s">
        <v>504</v>
      </c>
      <c r="B234" s="11" t="s">
        <v>61</v>
      </c>
      <c r="C234" s="11" t="s">
        <v>13</v>
      </c>
      <c r="D234" s="11" t="s">
        <v>96</v>
      </c>
      <c r="E234" s="11" t="s">
        <v>98</v>
      </c>
      <c r="F234" s="11" t="s">
        <v>65</v>
      </c>
      <c r="G234" s="11" t="s">
        <v>106</v>
      </c>
      <c r="H234" s="11" t="s">
        <v>100</v>
      </c>
      <c r="I234" s="11" t="s">
        <v>104</v>
      </c>
      <c r="J234" s="11" t="s">
        <v>469</v>
      </c>
      <c r="K234" s="11">
        <v>42.9</v>
      </c>
      <c r="L234" s="11">
        <v>2019</v>
      </c>
      <c r="M234" s="14">
        <f>30412*K234</f>
        <v>1304674.8</v>
      </c>
      <c r="N234" s="14">
        <v>1304674.8</v>
      </c>
      <c r="O234" s="14">
        <v>1304674.8</v>
      </c>
      <c r="P234" s="56">
        <f t="shared" si="39"/>
        <v>1</v>
      </c>
    </row>
    <row r="235" spans="1:16" ht="31.2" x14ac:dyDescent="0.25">
      <c r="A235" s="13" t="s">
        <v>506</v>
      </c>
      <c r="B235" s="11" t="s">
        <v>61</v>
      </c>
      <c r="C235" s="11" t="s">
        <v>13</v>
      </c>
      <c r="D235" s="11" t="s">
        <v>96</v>
      </c>
      <c r="E235" s="11" t="s">
        <v>98</v>
      </c>
      <c r="F235" s="11" t="s">
        <v>65</v>
      </c>
      <c r="G235" s="11" t="s">
        <v>106</v>
      </c>
      <c r="H235" s="11" t="s">
        <v>100</v>
      </c>
      <c r="I235" s="11" t="s">
        <v>104</v>
      </c>
      <c r="J235" s="11" t="s">
        <v>469</v>
      </c>
      <c r="K235" s="11">
        <v>72.5</v>
      </c>
      <c r="L235" s="11">
        <v>2019</v>
      </c>
      <c r="M235" s="14">
        <f>30412*K235</f>
        <v>2204870</v>
      </c>
      <c r="N235" s="14">
        <v>2204870</v>
      </c>
      <c r="O235" s="14">
        <v>2204870</v>
      </c>
      <c r="P235" s="56">
        <f t="shared" si="39"/>
        <v>1</v>
      </c>
    </row>
    <row r="236" spans="1:16" s="35" customFormat="1" ht="24.9" customHeight="1" x14ac:dyDescent="0.25">
      <c r="A236" s="46" t="s">
        <v>107</v>
      </c>
      <c r="B236" s="41" t="s">
        <v>61</v>
      </c>
      <c r="C236" s="41" t="s">
        <v>13</v>
      </c>
      <c r="D236" s="41" t="s">
        <v>96</v>
      </c>
      <c r="E236" s="41" t="s">
        <v>98</v>
      </c>
      <c r="F236" s="41" t="s">
        <v>65</v>
      </c>
      <c r="G236" s="41" t="s">
        <v>65</v>
      </c>
      <c r="H236" s="41" t="s">
        <v>0</v>
      </c>
      <c r="I236" s="41" t="s">
        <v>0</v>
      </c>
      <c r="J236" s="41" t="s">
        <v>0</v>
      </c>
      <c r="K236" s="41" t="s">
        <v>0</v>
      </c>
      <c r="L236" s="41" t="s">
        <v>0</v>
      </c>
      <c r="M236" s="42">
        <f>M237</f>
        <v>9184424</v>
      </c>
      <c r="N236" s="42">
        <f t="shared" ref="N236:O238" si="53">N237</f>
        <v>9184424</v>
      </c>
      <c r="O236" s="42">
        <f t="shared" si="53"/>
        <v>9184424</v>
      </c>
      <c r="P236" s="55">
        <f t="shared" si="39"/>
        <v>1</v>
      </c>
    </row>
    <row r="237" spans="1:16" s="35" customFormat="1" ht="65.25" customHeight="1" x14ac:dyDescent="0.25">
      <c r="A237" s="40" t="s">
        <v>99</v>
      </c>
      <c r="B237" s="41" t="s">
        <v>61</v>
      </c>
      <c r="C237" s="41" t="s">
        <v>13</v>
      </c>
      <c r="D237" s="41" t="s">
        <v>96</v>
      </c>
      <c r="E237" s="41" t="s">
        <v>98</v>
      </c>
      <c r="F237" s="41" t="s">
        <v>65</v>
      </c>
      <c r="G237" s="41" t="s">
        <v>65</v>
      </c>
      <c r="H237" s="41" t="s">
        <v>100</v>
      </c>
      <c r="I237" s="43" t="s">
        <v>0</v>
      </c>
      <c r="J237" s="43" t="s">
        <v>0</v>
      </c>
      <c r="K237" s="43" t="s">
        <v>0</v>
      </c>
      <c r="L237" s="43" t="s">
        <v>0</v>
      </c>
      <c r="M237" s="42">
        <f>M238</f>
        <v>9184424</v>
      </c>
      <c r="N237" s="42">
        <f t="shared" si="53"/>
        <v>9184424</v>
      </c>
      <c r="O237" s="42">
        <f t="shared" si="53"/>
        <v>9184424</v>
      </c>
      <c r="P237" s="55">
        <f t="shared" si="39"/>
        <v>1</v>
      </c>
    </row>
    <row r="238" spans="1:16" s="35" customFormat="1" ht="91.5" customHeight="1" x14ac:dyDescent="0.25">
      <c r="A238" s="40" t="s">
        <v>101</v>
      </c>
      <c r="B238" s="41" t="s">
        <v>61</v>
      </c>
      <c r="C238" s="41" t="s">
        <v>13</v>
      </c>
      <c r="D238" s="41" t="s">
        <v>96</v>
      </c>
      <c r="E238" s="41" t="s">
        <v>98</v>
      </c>
      <c r="F238" s="41" t="s">
        <v>65</v>
      </c>
      <c r="G238" s="41" t="s">
        <v>65</v>
      </c>
      <c r="H238" s="41" t="s">
        <v>100</v>
      </c>
      <c r="I238" s="41" t="s">
        <v>102</v>
      </c>
      <c r="J238" s="41" t="s">
        <v>0</v>
      </c>
      <c r="K238" s="41" t="s">
        <v>0</v>
      </c>
      <c r="L238" s="41" t="s">
        <v>0</v>
      </c>
      <c r="M238" s="42">
        <f>M239</f>
        <v>9184424</v>
      </c>
      <c r="N238" s="42">
        <f t="shared" si="53"/>
        <v>9184424</v>
      </c>
      <c r="O238" s="42">
        <f t="shared" si="53"/>
        <v>9184424</v>
      </c>
      <c r="P238" s="55">
        <f t="shared" si="39"/>
        <v>1</v>
      </c>
    </row>
    <row r="239" spans="1:16" s="35" customFormat="1" ht="78" customHeight="1" x14ac:dyDescent="0.25">
      <c r="A239" s="40" t="s">
        <v>598</v>
      </c>
      <c r="B239" s="41" t="s">
        <v>61</v>
      </c>
      <c r="C239" s="41" t="s">
        <v>13</v>
      </c>
      <c r="D239" s="41" t="s">
        <v>96</v>
      </c>
      <c r="E239" s="41" t="s">
        <v>98</v>
      </c>
      <c r="F239" s="41" t="s">
        <v>65</v>
      </c>
      <c r="G239" s="41" t="s">
        <v>65</v>
      </c>
      <c r="H239" s="41" t="s">
        <v>100</v>
      </c>
      <c r="I239" s="41" t="s">
        <v>102</v>
      </c>
      <c r="J239" s="41"/>
      <c r="K239" s="41"/>
      <c r="L239" s="41"/>
      <c r="M239" s="42">
        <f>SUM(M240:M244)</f>
        <v>9184424</v>
      </c>
      <c r="N239" s="42">
        <f t="shared" ref="N239:O239" si="54">SUM(N240:N244)</f>
        <v>9184424</v>
      </c>
      <c r="O239" s="42">
        <f t="shared" si="54"/>
        <v>9184424</v>
      </c>
      <c r="P239" s="55">
        <f t="shared" si="39"/>
        <v>1</v>
      </c>
    </row>
    <row r="240" spans="1:16" ht="45" customHeight="1" x14ac:dyDescent="0.25">
      <c r="A240" s="13" t="s">
        <v>485</v>
      </c>
      <c r="B240" s="11" t="s">
        <v>61</v>
      </c>
      <c r="C240" s="11" t="s">
        <v>13</v>
      </c>
      <c r="D240" s="11" t="s">
        <v>96</v>
      </c>
      <c r="E240" s="11" t="s">
        <v>98</v>
      </c>
      <c r="F240" s="11" t="s">
        <v>65</v>
      </c>
      <c r="G240" s="11" t="s">
        <v>65</v>
      </c>
      <c r="H240" s="11" t="s">
        <v>100</v>
      </c>
      <c r="I240" s="11" t="s">
        <v>102</v>
      </c>
      <c r="J240" s="11" t="s">
        <v>469</v>
      </c>
      <c r="K240" s="11">
        <v>44.8</v>
      </c>
      <c r="L240" s="11">
        <v>2019</v>
      </c>
      <c r="M240" s="14">
        <f>30412*K240</f>
        <v>1362457.5999999999</v>
      </c>
      <c r="N240" s="14">
        <v>1362457.6000000001</v>
      </c>
      <c r="O240" s="14">
        <v>1362457.6000000001</v>
      </c>
      <c r="P240" s="56">
        <f t="shared" si="39"/>
        <v>1.0000000000000002</v>
      </c>
    </row>
    <row r="241" spans="1:16" ht="45" customHeight="1" x14ac:dyDescent="0.25">
      <c r="A241" s="13" t="s">
        <v>558</v>
      </c>
      <c r="B241" s="11" t="s">
        <v>61</v>
      </c>
      <c r="C241" s="11" t="s">
        <v>13</v>
      </c>
      <c r="D241" s="11" t="s">
        <v>96</v>
      </c>
      <c r="E241" s="11" t="s">
        <v>98</v>
      </c>
      <c r="F241" s="11" t="s">
        <v>65</v>
      </c>
      <c r="G241" s="11" t="s">
        <v>65</v>
      </c>
      <c r="H241" s="11" t="s">
        <v>100</v>
      </c>
      <c r="I241" s="11" t="s">
        <v>102</v>
      </c>
      <c r="J241" s="11" t="s">
        <v>469</v>
      </c>
      <c r="K241" s="16">
        <v>34</v>
      </c>
      <c r="L241" s="11">
        <v>2019</v>
      </c>
      <c r="M241" s="14">
        <f>30412*K241</f>
        <v>1034008</v>
      </c>
      <c r="N241" s="14">
        <v>1034008</v>
      </c>
      <c r="O241" s="14">
        <v>1034008</v>
      </c>
      <c r="P241" s="56">
        <f t="shared" si="39"/>
        <v>1</v>
      </c>
    </row>
    <row r="242" spans="1:16" ht="40.5" customHeight="1" x14ac:dyDescent="0.25">
      <c r="A242" s="13" t="s">
        <v>559</v>
      </c>
      <c r="B242" s="11" t="s">
        <v>61</v>
      </c>
      <c r="C242" s="11" t="s">
        <v>13</v>
      </c>
      <c r="D242" s="11" t="s">
        <v>96</v>
      </c>
      <c r="E242" s="11" t="s">
        <v>98</v>
      </c>
      <c r="F242" s="11" t="s">
        <v>65</v>
      </c>
      <c r="G242" s="11" t="s">
        <v>65</v>
      </c>
      <c r="H242" s="11" t="s">
        <v>100</v>
      </c>
      <c r="I242" s="11" t="s">
        <v>102</v>
      </c>
      <c r="J242" s="11" t="s">
        <v>469</v>
      </c>
      <c r="K242" s="11">
        <v>52.3</v>
      </c>
      <c r="L242" s="11">
        <v>2019</v>
      </c>
      <c r="M242" s="14">
        <f>30412*K242</f>
        <v>1590547.5999999999</v>
      </c>
      <c r="N242" s="14">
        <v>1590547.6</v>
      </c>
      <c r="O242" s="14">
        <v>1590547.6</v>
      </c>
      <c r="P242" s="56">
        <f t="shared" si="39"/>
        <v>1.0000000000000002</v>
      </c>
    </row>
    <row r="243" spans="1:16" ht="40.5" customHeight="1" x14ac:dyDescent="0.25">
      <c r="A243" s="13" t="s">
        <v>560</v>
      </c>
      <c r="B243" s="11" t="s">
        <v>61</v>
      </c>
      <c r="C243" s="11" t="s">
        <v>13</v>
      </c>
      <c r="D243" s="11" t="s">
        <v>96</v>
      </c>
      <c r="E243" s="11" t="s">
        <v>98</v>
      </c>
      <c r="F243" s="11" t="s">
        <v>65</v>
      </c>
      <c r="G243" s="11" t="s">
        <v>65</v>
      </c>
      <c r="H243" s="11" t="s">
        <v>100</v>
      </c>
      <c r="I243" s="11" t="s">
        <v>102</v>
      </c>
      <c r="J243" s="11" t="s">
        <v>469</v>
      </c>
      <c r="K243" s="11">
        <v>85.4</v>
      </c>
      <c r="L243" s="11">
        <v>2019</v>
      </c>
      <c r="M243" s="14">
        <f>30412*K243</f>
        <v>2597184.8000000003</v>
      </c>
      <c r="N243" s="14">
        <v>2597184.7999999998</v>
      </c>
      <c r="O243" s="14">
        <v>2597184.7999999998</v>
      </c>
      <c r="P243" s="56">
        <f t="shared" si="39"/>
        <v>0.99999999999999978</v>
      </c>
    </row>
    <row r="244" spans="1:16" ht="38.25" customHeight="1" x14ac:dyDescent="0.25">
      <c r="A244" s="13" t="s">
        <v>560</v>
      </c>
      <c r="B244" s="11" t="s">
        <v>61</v>
      </c>
      <c r="C244" s="11" t="s">
        <v>13</v>
      </c>
      <c r="D244" s="11" t="s">
        <v>96</v>
      </c>
      <c r="E244" s="11" t="s">
        <v>98</v>
      </c>
      <c r="F244" s="11" t="s">
        <v>65</v>
      </c>
      <c r="G244" s="11" t="s">
        <v>65</v>
      </c>
      <c r="H244" s="11" t="s">
        <v>100</v>
      </c>
      <c r="I244" s="11" t="s">
        <v>102</v>
      </c>
      <c r="J244" s="11" t="s">
        <v>469</v>
      </c>
      <c r="K244" s="11">
        <v>85.5</v>
      </c>
      <c r="L244" s="11">
        <v>2019</v>
      </c>
      <c r="M244" s="14">
        <f>30412*K244</f>
        <v>2600226</v>
      </c>
      <c r="N244" s="14">
        <v>2600226</v>
      </c>
      <c r="O244" s="14">
        <v>2600226</v>
      </c>
      <c r="P244" s="56">
        <f t="shared" si="39"/>
        <v>1</v>
      </c>
    </row>
    <row r="245" spans="1:16" s="25" customFormat="1" ht="36" customHeight="1" x14ac:dyDescent="0.25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</row>
    <row r="246" spans="1:16" s="25" customFormat="1" ht="55.5" customHeight="1" x14ac:dyDescent="0.25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</row>
    <row r="247" spans="1:16" s="25" customFormat="1" ht="16.8" x14ac:dyDescent="0.25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</row>
    <row r="248" spans="1:16" s="25" customFormat="1" ht="30.6" x14ac:dyDescent="0.25">
      <c r="A248" s="91" t="s">
        <v>588</v>
      </c>
      <c r="B248" s="91"/>
      <c r="C248" s="91"/>
      <c r="D248" s="91"/>
      <c r="E248" s="85"/>
      <c r="F248" s="85"/>
      <c r="G248" s="85"/>
      <c r="H248" s="85"/>
      <c r="I248" s="85"/>
      <c r="J248" s="85"/>
      <c r="K248" s="85"/>
      <c r="L248" s="85"/>
      <c r="M248" s="85"/>
      <c r="N248" s="92" t="s">
        <v>589</v>
      </c>
      <c r="O248" s="92"/>
      <c r="P248" s="92"/>
    </row>
    <row r="249" spans="1:16" s="25" customFormat="1" ht="16.8" x14ac:dyDescent="0.25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</row>
    <row r="250" spans="1:16" s="25" customFormat="1" ht="36.75" customHeight="1" x14ac:dyDescent="0.25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</row>
    <row r="251" spans="1:16" s="25" customFormat="1" ht="36" customHeight="1" x14ac:dyDescent="0.25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</row>
    <row r="252" spans="1:16" s="25" customFormat="1" ht="54.75" customHeight="1" x14ac:dyDescent="0.25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</row>
    <row r="253" spans="1:16" s="25" customFormat="1" ht="107.25" customHeight="1" x14ac:dyDescent="0.25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</row>
    <row r="254" spans="1:16" s="25" customFormat="1" ht="36" x14ac:dyDescent="0.25">
      <c r="A254" s="33" t="s">
        <v>590</v>
      </c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</row>
    <row r="255" spans="1:16" s="25" customFormat="1" ht="16.8" x14ac:dyDescent="0.25">
      <c r="A255" s="24"/>
      <c r="O255" s="26"/>
    </row>
    <row r="256" spans="1:16" s="25" customFormat="1" ht="16.8" x14ac:dyDescent="0.25">
      <c r="A256" s="24"/>
      <c r="O256" s="26"/>
    </row>
    <row r="257" spans="1:15" s="25" customFormat="1" ht="16.8" x14ac:dyDescent="0.25">
      <c r="A257" s="24"/>
      <c r="O257" s="26"/>
    </row>
    <row r="258" spans="1:15" s="25" customFormat="1" ht="16.8" x14ac:dyDescent="0.25">
      <c r="A258" s="24"/>
      <c r="O258" s="26"/>
    </row>
    <row r="259" spans="1:15" s="25" customFormat="1" ht="16.8" x14ac:dyDescent="0.25">
      <c r="A259" s="24"/>
      <c r="O259" s="26"/>
    </row>
    <row r="260" spans="1:15" s="25" customFormat="1" ht="16.8" x14ac:dyDescent="0.25">
      <c r="A260" s="24"/>
      <c r="O260" s="26"/>
    </row>
    <row r="261" spans="1:15" s="25" customFormat="1" ht="16.8" x14ac:dyDescent="0.25">
      <c r="A261" s="24"/>
      <c r="O261" s="26"/>
    </row>
    <row r="262" spans="1:15" s="25" customFormat="1" ht="16.8" x14ac:dyDescent="0.25">
      <c r="A262" s="24"/>
      <c r="O262" s="26"/>
    </row>
    <row r="263" spans="1:15" s="25" customFormat="1" ht="16.8" x14ac:dyDescent="0.25">
      <c r="A263" s="24"/>
      <c r="O263" s="26"/>
    </row>
    <row r="264" spans="1:15" s="25" customFormat="1" ht="16.8" x14ac:dyDescent="0.25">
      <c r="A264" s="24"/>
      <c r="O264" s="26"/>
    </row>
    <row r="265" spans="1:15" s="25" customFormat="1" ht="16.8" x14ac:dyDescent="0.25">
      <c r="A265" s="24"/>
      <c r="O265" s="26"/>
    </row>
    <row r="266" spans="1:15" s="25" customFormat="1" ht="16.8" x14ac:dyDescent="0.25">
      <c r="A266" s="24"/>
      <c r="O266" s="26"/>
    </row>
    <row r="267" spans="1:15" s="25" customFormat="1" ht="16.8" x14ac:dyDescent="0.25">
      <c r="A267" s="24"/>
      <c r="O267" s="26"/>
    </row>
    <row r="268" spans="1:15" s="25" customFormat="1" ht="16.8" x14ac:dyDescent="0.25">
      <c r="A268" s="24"/>
      <c r="O268" s="26"/>
    </row>
    <row r="269" spans="1:15" s="25" customFormat="1" ht="16.8" x14ac:dyDescent="0.25">
      <c r="A269" s="24"/>
      <c r="O269" s="26"/>
    </row>
    <row r="270" spans="1:15" s="25" customFormat="1" ht="16.8" x14ac:dyDescent="0.25">
      <c r="A270" s="24"/>
      <c r="O270" s="26"/>
    </row>
    <row r="271" spans="1:15" s="25" customFormat="1" ht="16.8" x14ac:dyDescent="0.25">
      <c r="A271" s="24"/>
      <c r="O271" s="26"/>
    </row>
    <row r="272" spans="1:15" s="25" customFormat="1" ht="16.8" x14ac:dyDescent="0.25">
      <c r="A272" s="24"/>
      <c r="O272" s="26"/>
    </row>
    <row r="273" spans="1:15" s="25" customFormat="1" ht="16.8" x14ac:dyDescent="0.25">
      <c r="A273" s="24"/>
      <c r="O273" s="26"/>
    </row>
    <row r="274" spans="1:15" s="25" customFormat="1" ht="16.8" x14ac:dyDescent="0.25">
      <c r="A274" s="24"/>
      <c r="O274" s="26"/>
    </row>
    <row r="275" spans="1:15" s="25" customFormat="1" ht="16.8" x14ac:dyDescent="0.25">
      <c r="A275" s="24"/>
      <c r="O275" s="26"/>
    </row>
    <row r="276" spans="1:15" s="25" customFormat="1" ht="16.8" x14ac:dyDescent="0.25">
      <c r="A276" s="24"/>
      <c r="O276" s="26"/>
    </row>
    <row r="277" spans="1:15" s="25" customFormat="1" ht="16.8" x14ac:dyDescent="0.25">
      <c r="A277" s="24"/>
      <c r="O277" s="26"/>
    </row>
    <row r="278" spans="1:15" ht="13.8" x14ac:dyDescent="0.25">
      <c r="A278" s="27"/>
    </row>
    <row r="279" spans="1:15" ht="13.8" x14ac:dyDescent="0.25">
      <c r="A279" s="27"/>
    </row>
  </sheetData>
  <mergeCells count="5">
    <mergeCell ref="A248:D248"/>
    <mergeCell ref="N248:P248"/>
    <mergeCell ref="A3:P3"/>
    <mergeCell ref="A2:P2"/>
    <mergeCell ref="O1:P1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69" fitToHeight="25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Приложение 1</vt:lpstr>
      <vt:lpstr>Приложение 2</vt:lpstr>
      <vt:lpstr>Приложение 3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'Приложение 1'!Область_печати</vt:lpstr>
      <vt:lpstr>'Приложение 2'!Область_печати</vt:lpstr>
      <vt:lpstr>'Приложение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2020-03-13T06:15:53Z</dcterms:modified>
</cp:coreProperties>
</file>